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anoPlantio" sheetId="1" r:id="rId1"/>
    <sheet name="REALIZADO" sheetId="2" r:id="rId2"/>
    <sheet name="A FAZER" sheetId="3" r:id="rId3"/>
    <sheet name="Plan3" sheetId="4" r:id="rId4"/>
    <sheet name="custosSalMín-igpmIgualÁguia" sheetId="5" r:id="rId5"/>
    <sheet name="Plan.Auxiliar" sheetId="6" r:id="rId6"/>
    <sheet name="MemóriaCálc" sheetId="7" r:id="rId7"/>
    <sheet name="cronogr" sheetId="8" r:id="rId8"/>
    <sheet name="PROPOSTA" sheetId="9" r:id="rId9"/>
    <sheet name="Capa" sheetId="10" r:id="rId10"/>
    <sheet name="IGPM" sheetId="11" r:id="rId11"/>
  </sheets>
  <externalReferences>
    <externalReference r:id="rId14"/>
    <externalReference r:id="rId15"/>
  </externalReferences>
  <definedNames/>
  <calcPr fullCalcOnLoad="1"/>
</workbook>
</file>

<file path=xl/comments4.xml><?xml version="1.0" encoding="utf-8"?>
<comments xmlns="http://schemas.openxmlformats.org/spreadsheetml/2006/main">
  <authors>
    <author>ANTONIO JOS? PIZANI</author>
  </authors>
  <commentList>
    <comment ref="D84" authorId="0">
      <text>
        <r>
          <rPr>
            <b/>
            <sz val="9"/>
            <rFont val="Tahoma"/>
            <family val="2"/>
          </rPr>
          <t>ADENSAMENTO</t>
        </r>
        <r>
          <rPr>
            <sz val="9"/>
            <rFont val="Tahoma"/>
            <family val="2"/>
          </rPr>
          <t xml:space="preserve">
</t>
        </r>
      </text>
    </comment>
    <comment ref="D85" authorId="0">
      <text>
        <r>
          <rPr>
            <b/>
            <sz val="9"/>
            <rFont val="Tahoma"/>
            <family val="2"/>
          </rPr>
          <t>ADENSAMENTO</t>
        </r>
      </text>
    </comment>
    <comment ref="D86" authorId="0">
      <text>
        <r>
          <rPr>
            <b/>
            <sz val="9"/>
            <rFont val="Tahoma"/>
            <family val="2"/>
          </rPr>
          <t>ADENSAMENTO</t>
        </r>
      </text>
    </comment>
  </commentList>
</comments>
</file>

<file path=xl/sharedStrings.xml><?xml version="1.0" encoding="utf-8"?>
<sst xmlns="http://schemas.openxmlformats.org/spreadsheetml/2006/main" count="1985" uniqueCount="391">
  <si>
    <t>PROJETO</t>
  </si>
  <si>
    <t>RIBEIRÃOZINHO</t>
  </si>
  <si>
    <t>PROJETO NOVO</t>
  </si>
  <si>
    <t>MUNICÍPIO</t>
  </si>
  <si>
    <t>TALHÃO</t>
  </si>
  <si>
    <t>ÁREA MEDIDA</t>
  </si>
  <si>
    <t>ANO DE PLANTIO</t>
  </si>
  <si>
    <t>ESPÉCIE</t>
  </si>
  <si>
    <t>CASTRO</t>
  </si>
  <si>
    <t>taeda</t>
  </si>
  <si>
    <t>RIBEIRÃO DAS AREIAS 1</t>
  </si>
  <si>
    <t>elliottii</t>
  </si>
  <si>
    <t>RIBEIRÃO DAS AREIAS 2</t>
  </si>
  <si>
    <t>RIBEIRÃO DAS AREIAS 3</t>
  </si>
  <si>
    <t>RIBEIRÃO DAS AREIAS 4</t>
  </si>
  <si>
    <t>4A</t>
  </si>
  <si>
    <t>HERVAL 4</t>
  </si>
  <si>
    <t>HERVAL 5</t>
  </si>
  <si>
    <t>44.19</t>
  </si>
  <si>
    <t>HERVAL 6</t>
  </si>
  <si>
    <t>BOA VISTA</t>
  </si>
  <si>
    <t>BOA VISTA 2</t>
  </si>
  <si>
    <t>PONTA GROSSA</t>
  </si>
  <si>
    <t>3A</t>
  </si>
  <si>
    <t>ÁGUA BRANCA</t>
  </si>
  <si>
    <t>IDADE</t>
  </si>
  <si>
    <t>Plantio</t>
  </si>
  <si>
    <t>Repantio</t>
  </si>
  <si>
    <t>1º ano</t>
  </si>
  <si>
    <t>2º ano</t>
  </si>
  <si>
    <t>3º ano</t>
  </si>
  <si>
    <t>4º ano</t>
  </si>
  <si>
    <t>5º ano</t>
  </si>
  <si>
    <t>1ª man</t>
  </si>
  <si>
    <t>2ª man</t>
  </si>
  <si>
    <t>3ª man</t>
  </si>
  <si>
    <t>4ª man</t>
  </si>
  <si>
    <t>1ª poda</t>
  </si>
  <si>
    <t>Roçada</t>
  </si>
  <si>
    <t>2ª poda</t>
  </si>
  <si>
    <t>Poda única</t>
  </si>
  <si>
    <t>1º Desb</t>
  </si>
  <si>
    <t>2º Desb</t>
  </si>
  <si>
    <t>Corte raso</t>
  </si>
  <si>
    <t>NÚCLEO</t>
  </si>
  <si>
    <t>IDADE - FEVEREIRO 2011</t>
  </si>
  <si>
    <t>HERVAL 1</t>
  </si>
  <si>
    <t>5.85</t>
  </si>
  <si>
    <t>HERVAL 2</t>
  </si>
  <si>
    <t>HERVAL 3</t>
  </si>
  <si>
    <t>84.58</t>
  </si>
  <si>
    <t>Total</t>
  </si>
  <si>
    <t>Serviços executados</t>
  </si>
  <si>
    <t>Plantio e replantio</t>
  </si>
  <si>
    <t>Primeiro ano</t>
  </si>
  <si>
    <t>Segundo ano</t>
  </si>
  <si>
    <t>Terceiro ano</t>
  </si>
  <si>
    <t>Quarto ano</t>
  </si>
  <si>
    <t>Quinto ano</t>
  </si>
  <si>
    <t>Roçada extra</t>
  </si>
  <si>
    <t>Primeira poda (2,00m)</t>
  </si>
  <si>
    <t>Segunda poda (3,50m)</t>
  </si>
  <si>
    <t>Poda única (3,0m)</t>
  </si>
  <si>
    <t>Área</t>
  </si>
  <si>
    <t>Valor unitário</t>
  </si>
  <si>
    <t>Soma por ano</t>
  </si>
  <si>
    <t>diárias</t>
  </si>
  <si>
    <t>vr/diária</t>
  </si>
  <si>
    <t>vr/há</t>
  </si>
  <si>
    <t>plantio</t>
  </si>
  <si>
    <t>mudas</t>
  </si>
  <si>
    <t>roçada</t>
  </si>
  <si>
    <t>trilha</t>
  </si>
  <si>
    <t>replant</t>
  </si>
  <si>
    <t>comb.form</t>
  </si>
  <si>
    <t>fiscaliz</t>
  </si>
  <si>
    <t>MAN</t>
  </si>
  <si>
    <t>fiscalização</t>
  </si>
  <si>
    <t>herb</t>
  </si>
  <si>
    <t>produto 2kg/há</t>
  </si>
  <si>
    <t>Custos Parceiro Executor</t>
  </si>
  <si>
    <t>Custo</t>
  </si>
  <si>
    <t>INVESTIMENTOS REALIZADOS E A REALIZAR (PROJEÇÃO)</t>
  </si>
  <si>
    <t>Realizados/ a Realizar</t>
  </si>
  <si>
    <t>a Realizar</t>
  </si>
  <si>
    <t>RESPONSÁVEL</t>
  </si>
  <si>
    <t>REALIZADO</t>
  </si>
  <si>
    <t>A REALIZAR</t>
  </si>
  <si>
    <t>TOTAL</t>
  </si>
  <si>
    <t>PARTICIPAÇÃO (%)</t>
  </si>
  <si>
    <t>Hectares</t>
  </si>
  <si>
    <t>Vr/ha.</t>
  </si>
  <si>
    <t>Valor</t>
  </si>
  <si>
    <t>Plantio/Replantio</t>
  </si>
  <si>
    <t>PARCEIRO EXECUTOR</t>
  </si>
  <si>
    <t>Soma</t>
  </si>
  <si>
    <t>3ª poda</t>
  </si>
  <si>
    <t>Soma Plantio/man/podas</t>
  </si>
  <si>
    <t>Infraestrutura e Equipamentos</t>
  </si>
  <si>
    <t>VR/HÁ/NA</t>
  </si>
  <si>
    <t>HÁ</t>
  </si>
  <si>
    <t>VR.T/ANO</t>
  </si>
  <si>
    <t>N°ANOS</t>
  </si>
  <si>
    <t>VR.TOTAL</t>
  </si>
  <si>
    <t>Manutenção Estradas ha./ano</t>
  </si>
  <si>
    <t>Prevenção Incêndios ha./ano</t>
  </si>
  <si>
    <t>Soma Infraestrutura/Equipamentos</t>
  </si>
  <si>
    <t>Total (1 + 2)</t>
  </si>
  <si>
    <t>% participação</t>
  </si>
  <si>
    <t>1° ano</t>
  </si>
  <si>
    <t>2ª°ano</t>
  </si>
  <si>
    <t>3° ano</t>
  </si>
  <si>
    <t>4ª°ano</t>
  </si>
  <si>
    <t>5ª°ano</t>
  </si>
  <si>
    <t>6° ano</t>
  </si>
  <si>
    <t>7° ano</t>
  </si>
  <si>
    <t>8° ano</t>
  </si>
  <si>
    <t>9° ano</t>
  </si>
  <si>
    <t>10° ano</t>
  </si>
  <si>
    <t>Roçada Extra</t>
  </si>
  <si>
    <t>Poda ùnica</t>
  </si>
  <si>
    <t>%var.igpm</t>
  </si>
  <si>
    <t>.12/15</t>
  </si>
  <si>
    <t>Águia</t>
  </si>
  <si>
    <t>.6/13-12/15</t>
  </si>
  <si>
    <t>vr.atualiz</t>
  </si>
  <si>
    <t>.2013</t>
  </si>
  <si>
    <t>.2016</t>
  </si>
  <si>
    <t>man</t>
  </si>
  <si>
    <t>var.sal.mín</t>
  </si>
  <si>
    <t>poda</t>
  </si>
  <si>
    <t>var.sal.min</t>
  </si>
  <si>
    <t>há</t>
  </si>
  <si>
    <t>diárias/há</t>
  </si>
  <si>
    <t>Var.sal.mín</t>
  </si>
  <si>
    <t>var.igpm</t>
  </si>
  <si>
    <t>chec.vo</t>
  </si>
  <si>
    <t>Atualizada</t>
  </si>
  <si>
    <t>.80+20%</t>
  </si>
  <si>
    <t>vr.ônibus mês</t>
  </si>
  <si>
    <t>DIÁRIA</t>
  </si>
  <si>
    <t>n°assentos</t>
  </si>
  <si>
    <t>Custo T.op.rural Nossa-1/16</t>
  </si>
  <si>
    <t>vr.por assentos(funcs)</t>
  </si>
  <si>
    <t>n°dias/mês</t>
  </si>
  <si>
    <t>n°dias úteis</t>
  </si>
  <si>
    <t>m.obra/dia</t>
  </si>
  <si>
    <t>vr.passagem/dia</t>
  </si>
  <si>
    <t>vr.transp(passagem ÔNIBUS)</t>
  </si>
  <si>
    <t>epi</t>
  </si>
  <si>
    <t>EPI</t>
  </si>
  <si>
    <t>vr/mês</t>
  </si>
  <si>
    <t>coturno</t>
  </si>
  <si>
    <t>soma</t>
  </si>
  <si>
    <t>camisa</t>
  </si>
  <si>
    <t>outras 10% sobre soma</t>
  </si>
  <si>
    <t>calça</t>
  </si>
  <si>
    <t>soma (VR.Diária)</t>
  </si>
  <si>
    <t>luva</t>
  </si>
  <si>
    <t>chapeu</t>
  </si>
  <si>
    <t>foice</t>
  </si>
  <si>
    <t>lima</t>
  </si>
  <si>
    <t>garrafão dagua</t>
  </si>
  <si>
    <t>Custos Serra Sudeste -RG</t>
  </si>
  <si>
    <t>.igpm-1/2008</t>
  </si>
  <si>
    <t>a12/2015</t>
  </si>
  <si>
    <t>plantio/há</t>
  </si>
  <si>
    <t>manutenção/há</t>
  </si>
  <si>
    <t>ano plantio</t>
  </si>
  <si>
    <t>ano</t>
  </si>
  <si>
    <t>vr/há man.estr</t>
  </si>
  <si>
    <t>n°ano</t>
  </si>
  <si>
    <t>vr.man/Ano</t>
  </si>
  <si>
    <t>Vr.man.</t>
  </si>
  <si>
    <t>realizado</t>
  </si>
  <si>
    <t>N°ANO</t>
  </si>
  <si>
    <t>VR.man.</t>
  </si>
  <si>
    <t>a realizar</t>
  </si>
  <si>
    <t>realizado+a realiz</t>
  </si>
  <si>
    <t>MAN ESTRADAS</t>
  </si>
  <si>
    <t>PREVENÇÃO INCÊNDIO</t>
  </si>
  <si>
    <t>80%SAL.Mín</t>
  </si>
  <si>
    <t>20%igpm</t>
  </si>
  <si>
    <t>R$34,34/ha/ano - 22 anos</t>
  </si>
  <si>
    <t>R$20,55ha/ano - 22 anos</t>
  </si>
  <si>
    <t>vr/há prev.Incêndio</t>
  </si>
  <si>
    <t>vr.prev.Inc/Ano</t>
  </si>
  <si>
    <t>VR.prev.inc</t>
  </si>
  <si>
    <t>Vr.prev.inc</t>
  </si>
  <si>
    <t>1 SUV 4x4 diesel</t>
  </si>
  <si>
    <t>4 motos trail com mín 160cc</t>
  </si>
  <si>
    <t>1 Caminhoneta cabine simples4x4diesel</t>
  </si>
  <si>
    <t>R$ 93.000,00 unitário - aquis.2016</t>
  </si>
  <si>
    <t>R$ 79.000,00 unitário = aquis 2016</t>
  </si>
  <si>
    <t>R$ 10.700,00 unitário - aquis.2016</t>
  </si>
  <si>
    <t>ADMINISTRADOR</t>
  </si>
  <si>
    <t>Custos Administrador - INSTITUTO</t>
  </si>
  <si>
    <t>chec</t>
  </si>
  <si>
    <t>Prev.Pragasvr/há/ano</t>
  </si>
  <si>
    <t>%arrend</t>
  </si>
  <si>
    <t>%partic</t>
  </si>
  <si>
    <t>há.aceirosMacacos</t>
  </si>
  <si>
    <t>%custos</t>
  </si>
  <si>
    <t>vr.rec</t>
  </si>
  <si>
    <t>vr.arrend</t>
  </si>
  <si>
    <t>final</t>
  </si>
  <si>
    <t>Vr.total ano</t>
  </si>
  <si>
    <t>Administradora</t>
  </si>
  <si>
    <t>há.efet.plantio</t>
  </si>
  <si>
    <t>Axecutora</t>
  </si>
  <si>
    <t>vr./há/ano</t>
  </si>
  <si>
    <t>12 anos</t>
  </si>
  <si>
    <t>vr.ano</t>
  </si>
  <si>
    <t>n° anos</t>
  </si>
  <si>
    <t>vr.total</t>
  </si>
  <si>
    <t>vr.t. receita</t>
  </si>
  <si>
    <t>vr.man Estr/mês</t>
  </si>
  <si>
    <t>total.há</t>
  </si>
  <si>
    <t>vr.man./há/mês</t>
  </si>
  <si>
    <t>anos</t>
  </si>
  <si>
    <t>meses</t>
  </si>
  <si>
    <t>%s/rc.tot</t>
  </si>
  <si>
    <t>vr.man/há/ano</t>
  </si>
  <si>
    <t>Prev.Incêndios/mês</t>
  </si>
  <si>
    <t>vr.Prev.Inc/há/mês</t>
  </si>
  <si>
    <t>vr.Prev.Inc/há/ano</t>
  </si>
  <si>
    <t>VALOR DO ARRENDAMENTO DA TERRA</t>
  </si>
  <si>
    <t xml:space="preserve">Vr. Total da Venda dos Projetos Anexo I </t>
  </si>
  <si>
    <t>% partic.PARCEIRO</t>
  </si>
  <si>
    <t>Vr. Faturam. Parceiro</t>
  </si>
  <si>
    <t>% arrendamento s/faturamento parte Parceiro</t>
  </si>
  <si>
    <t>Vr.total  Do arrendam Parceiro</t>
  </si>
  <si>
    <t>Vr. Anual do arrendamento Parceiro</t>
  </si>
  <si>
    <t>há. Total das áreas dos projetos(sóParc)</t>
  </si>
  <si>
    <t>Vr. Anual arrenda/ por há. PARTE Parc</t>
  </si>
  <si>
    <t>% arrendamento</t>
  </si>
  <si>
    <t>Vr.Total arrendamento</t>
  </si>
  <si>
    <t>vr.anual</t>
  </si>
  <si>
    <t>total há</t>
  </si>
  <si>
    <t>vr. Por há/ano</t>
  </si>
  <si>
    <t>quant</t>
  </si>
  <si>
    <t>p.unit</t>
  </si>
  <si>
    <t>Vr.Total</t>
  </si>
  <si>
    <t>Veículos</t>
  </si>
  <si>
    <t>Motocicletas</t>
  </si>
  <si>
    <t>Adequação fundiária(georreferenciamento)</t>
  </si>
  <si>
    <t>t.ha</t>
  </si>
  <si>
    <t>vr.anual adeq fund</t>
  </si>
  <si>
    <t>vr.ha/ano</t>
  </si>
  <si>
    <t>1 caminhoneta</t>
  </si>
  <si>
    <t>1 moto</t>
  </si>
  <si>
    <t xml:space="preserve">n° anos p/ depreciação </t>
  </si>
  <si>
    <t>100%do custo</t>
  </si>
  <si>
    <t>Vr/ano</t>
  </si>
  <si>
    <t>% deprec</t>
  </si>
  <si>
    <t>Caminhoneta</t>
  </si>
  <si>
    <t>km/mês</t>
  </si>
  <si>
    <t>km/litro</t>
  </si>
  <si>
    <t>Litros</t>
  </si>
  <si>
    <t>vr.mês</t>
  </si>
  <si>
    <t>vr. Ano</t>
  </si>
  <si>
    <t>Combustível</t>
  </si>
  <si>
    <t>vr.litro diesel</t>
  </si>
  <si>
    <t>Moto</t>
  </si>
  <si>
    <t>vr.gasol</t>
  </si>
  <si>
    <t>%</t>
  </si>
  <si>
    <t>Vr.</t>
  </si>
  <si>
    <t>Vr.t.ano</t>
  </si>
  <si>
    <t>sal/mês</t>
  </si>
  <si>
    <t>n°</t>
  </si>
  <si>
    <t>Capataz</t>
  </si>
  <si>
    <t>rurais</t>
  </si>
  <si>
    <t>Supervisor</t>
  </si>
  <si>
    <t>Total hectares</t>
  </si>
  <si>
    <t>vr/há/ano</t>
  </si>
  <si>
    <t>Administração Parceiro</t>
  </si>
  <si>
    <t>Téc.Florestal</t>
  </si>
  <si>
    <t>SAL.MÍN.Nacional</t>
  </si>
  <si>
    <r>
      <t xml:space="preserve">PREJEÇÃO RECEITA PARCERIA p/efeito % de ARRENDAMENTO - </t>
    </r>
    <r>
      <rPr>
        <sz val="10"/>
        <color indexed="10"/>
        <rFont val="Arial"/>
        <family val="2"/>
      </rPr>
      <t>HERVA</t>
    </r>
    <r>
      <rPr>
        <sz val="10"/>
        <rFont val="Arial"/>
        <family val="2"/>
      </rPr>
      <t>L</t>
    </r>
  </si>
  <si>
    <t>M3</t>
  </si>
  <si>
    <t>VR HÁ</t>
  </si>
  <si>
    <t>ST</t>
  </si>
  <si>
    <t>VR.PU st</t>
  </si>
  <si>
    <t>.8-18</t>
  </si>
  <si>
    <t>.18-25</t>
  </si>
  <si>
    <t>.25-35</t>
  </si>
  <si>
    <t>ACIMA35</t>
  </si>
  <si>
    <t>% Partic.Parceiro Executor</t>
  </si>
  <si>
    <t>% arrend.s/vr.Receita do Parc.Executor</t>
  </si>
  <si>
    <t>n° /Vr.Parcelas</t>
  </si>
  <si>
    <t>Caçador 5</t>
  </si>
  <si>
    <t>Caçador 6</t>
  </si>
  <si>
    <t>Caçador 7</t>
  </si>
  <si>
    <t>Caçador 8</t>
  </si>
  <si>
    <t>Caçador 9</t>
  </si>
  <si>
    <t>Caçador 10</t>
  </si>
  <si>
    <t>Caçador 11</t>
  </si>
  <si>
    <t>Caetê</t>
  </si>
  <si>
    <t>Rio Bonito</t>
  </si>
  <si>
    <t>Ribeirãozinho</t>
  </si>
  <si>
    <t>Ribeirão das Areias 1</t>
  </si>
  <si>
    <t>Ribeirão das Areias 2</t>
  </si>
  <si>
    <t>Ribeirão das Areias 3</t>
  </si>
  <si>
    <t>Ribeirão das Areias 4</t>
  </si>
  <si>
    <t>Herval 4</t>
  </si>
  <si>
    <t>Herval 5</t>
  </si>
  <si>
    <t>Herval 6</t>
  </si>
  <si>
    <t>Água Branca</t>
  </si>
  <si>
    <t>Cronograma de pagamentos</t>
  </si>
  <si>
    <t>n° Parc</t>
  </si>
  <si>
    <t>Vencimentos</t>
  </si>
  <si>
    <t>Custos a ressarcir pelo Parceiro Executor</t>
  </si>
  <si>
    <t>Total (3-4)</t>
  </si>
  <si>
    <t>% participação antes ressarcimento</t>
  </si>
  <si>
    <t>% participação final</t>
  </si>
  <si>
    <t>entrada</t>
  </si>
  <si>
    <t>saldo</t>
  </si>
  <si>
    <t>Vr.a ressarcir</t>
  </si>
  <si>
    <t>n° parc</t>
  </si>
  <si>
    <t>vr.parc</t>
  </si>
  <si>
    <t>Assinatura Contrato</t>
  </si>
  <si>
    <t>%GERAL</t>
  </si>
  <si>
    <t>FINAL</t>
  </si>
  <si>
    <t>VR.ACRÉSC</t>
  </si>
  <si>
    <t>CHEC.FINAL</t>
  </si>
  <si>
    <t>%sal.mín+igpm12/15</t>
  </si>
  <si>
    <t>Administração IFPR</t>
  </si>
  <si>
    <t>Adm.IFPR</t>
  </si>
  <si>
    <t>Adm IFPR</t>
  </si>
  <si>
    <t>R$41,29/há/ano</t>
  </si>
  <si>
    <t>Classe Diamétrica</t>
  </si>
  <si>
    <t>M3/HA.</t>
  </si>
  <si>
    <t>PREÇO UNIT M3</t>
  </si>
  <si>
    <t>HECTARES</t>
  </si>
  <si>
    <t>VALOR TOTAL</t>
  </si>
  <si>
    <t>1° DESBASTE</t>
  </si>
  <si>
    <t>2° DESBASTE</t>
  </si>
  <si>
    <t>CORTE CASO</t>
  </si>
  <si>
    <t>Projetos</t>
  </si>
  <si>
    <t>Áreas implantadas</t>
  </si>
  <si>
    <t>Área a Implantar</t>
  </si>
  <si>
    <t>hectares</t>
  </si>
  <si>
    <t>PRTICIPANTE EXECUTOR</t>
  </si>
  <si>
    <t xml:space="preserve"> INSTITUTO</t>
  </si>
  <si>
    <t>Valor Mínimo</t>
  </si>
  <si>
    <t>%Estabelecido</t>
  </si>
  <si>
    <t>Critérios de Participação</t>
  </si>
  <si>
    <t>Valor da Proposta Apresentada</t>
  </si>
  <si>
    <t>Custos manut.veículos</t>
  </si>
  <si>
    <t>S10</t>
  </si>
  <si>
    <t>DUSTER</t>
  </si>
  <si>
    <t>MOTOS</t>
  </si>
  <si>
    <t>UNID</t>
  </si>
  <si>
    <t>KM</t>
  </si>
  <si>
    <t>SEGUROS</t>
  </si>
  <si>
    <t>%REDUÇÃO</t>
  </si>
  <si>
    <t>1°ANO</t>
  </si>
  <si>
    <t>2°ANO</t>
  </si>
  <si>
    <t>3°ANO</t>
  </si>
  <si>
    <t>VR.SOMA</t>
  </si>
  <si>
    <t>QUANT</t>
  </si>
  <si>
    <t>VR.EM3ANOS</t>
  </si>
  <si>
    <t>Man.veícs (3anos)</t>
  </si>
  <si>
    <t xml:space="preserve">Administração IFPR realizado/a realizar </t>
  </si>
  <si>
    <t>Ano de Plantio/hectares</t>
  </si>
  <si>
    <t>%do participante</t>
  </si>
  <si>
    <t>total custos proj Parceiro Executor</t>
  </si>
  <si>
    <t>custos Parceiro Executor a Executar</t>
  </si>
  <si>
    <t>Compl. A ressarcir ao IFPR p/atingir o % Proposto p/parcip</t>
  </si>
  <si>
    <t>km rodado</t>
  </si>
  <si>
    <t>gasol</t>
  </si>
  <si>
    <t>diesel</t>
  </si>
  <si>
    <t>n°anos</t>
  </si>
  <si>
    <t>Entrada</t>
  </si>
  <si>
    <t>xxx</t>
  </si>
  <si>
    <t>%igpm</t>
  </si>
  <si>
    <t>IGPM</t>
  </si>
  <si>
    <t>Digitar VO</t>
  </si>
  <si>
    <t>vr.6/13</t>
  </si>
  <si>
    <t>6/13-12/15</t>
  </si>
  <si>
    <t>MESES</t>
  </si>
  <si>
    <t>NºParc</t>
  </si>
  <si>
    <t>%Mês</t>
  </si>
  <si>
    <t>%Acum.</t>
  </si>
  <si>
    <t>Vr.Corrig</t>
  </si>
  <si>
    <t>plantio/replantio</t>
  </si>
  <si>
    <t>podas</t>
  </si>
  <si>
    <t>ANEXO 13 - MEMÓRIA DE CÁLCULOS</t>
  </si>
  <si>
    <t>Concessão</t>
  </si>
  <si>
    <t>CONCESSÃO ANO 2013</t>
  </si>
  <si>
    <t>CONCESSÃO HERVAL 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</si>
</sst>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0_ ;[Red]\-0\ "/>
    <numFmt numFmtId="167" formatCode="#,##0.0000_ ;[Red]\-#,##0.0000\ "/>
    <numFmt numFmtId="168" formatCode="0_ ;\-0\ 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0000"/>
    <numFmt numFmtId="174" formatCode="mmm/yyyy"/>
    <numFmt numFmtId="175" formatCode="#,##0.0000_);[Red]\(#,##0.0000\)"/>
    <numFmt numFmtId="176" formatCode="#,##0.0000000000_);[Red]\(#,##0.0000000000\)"/>
    <numFmt numFmtId="177" formatCode="#,##0.00000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36"/>
      <name val="Arial"/>
      <family val="2"/>
    </font>
    <font>
      <sz val="9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9"/>
      <color rgb="FF7030A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double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rgb="FF000000"/>
      </right>
      <top style="double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64" fontId="0" fillId="0" borderId="0" xfId="62" applyNumberFormat="1" applyFont="1" applyAlignment="1">
      <alignment/>
    </xf>
    <xf numFmtId="43" fontId="0" fillId="0" borderId="0" xfId="62" applyFont="1" applyAlignment="1">
      <alignment/>
    </xf>
    <xf numFmtId="164" fontId="0" fillId="0" borderId="0" xfId="62" applyNumberFormat="1" applyFont="1" applyBorder="1" applyAlignment="1">
      <alignment/>
    </xf>
    <xf numFmtId="43" fontId="0" fillId="0" borderId="0" xfId="6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23" xfId="0" applyBorder="1" applyAlignment="1">
      <alignment/>
    </xf>
    <xf numFmtId="0" fontId="4" fillId="0" borderId="26" xfId="0" applyFon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4" fillId="0" borderId="29" xfId="0" applyFont="1" applyBorder="1" applyAlignment="1">
      <alignment/>
    </xf>
    <xf numFmtId="165" fontId="4" fillId="0" borderId="29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32" xfId="0" applyNumberFormat="1" applyBorder="1" applyAlignment="1">
      <alignment/>
    </xf>
    <xf numFmtId="0" fontId="4" fillId="0" borderId="33" xfId="0" applyFon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4" fillId="0" borderId="40" xfId="0" applyFont="1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0" fontId="4" fillId="0" borderId="44" xfId="0" applyFon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4" fillId="0" borderId="49" xfId="0" applyFont="1" applyBorder="1" applyAlignment="1">
      <alignment/>
    </xf>
    <xf numFmtId="165" fontId="4" fillId="0" borderId="49" xfId="0" applyNumberFormat="1" applyFont="1" applyBorder="1" applyAlignment="1">
      <alignment/>
    </xf>
    <xf numFmtId="165" fontId="4" fillId="0" borderId="50" xfId="0" applyNumberFormat="1" applyFont="1" applyBorder="1" applyAlignment="1">
      <alignment/>
    </xf>
    <xf numFmtId="165" fontId="4" fillId="0" borderId="51" xfId="0" applyNumberFormat="1" applyFont="1" applyBorder="1" applyAlignment="1">
      <alignment/>
    </xf>
    <xf numFmtId="165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0" fillId="33" borderId="49" xfId="0" applyFill="1" applyBorder="1" applyAlignment="1">
      <alignment/>
    </xf>
    <xf numFmtId="165" fontId="0" fillId="33" borderId="49" xfId="0" applyNumberFormat="1" applyFill="1" applyBorder="1" applyAlignment="1">
      <alignment/>
    </xf>
    <xf numFmtId="165" fontId="0" fillId="33" borderId="30" xfId="0" applyNumberFormat="1" applyFill="1" applyBorder="1" applyAlignment="1">
      <alignment/>
    </xf>
    <xf numFmtId="165" fontId="0" fillId="33" borderId="50" xfId="0" applyNumberFormat="1" applyFill="1" applyBorder="1" applyAlignment="1">
      <alignment/>
    </xf>
    <xf numFmtId="165" fontId="0" fillId="33" borderId="51" xfId="0" applyNumberFormat="1" applyFill="1" applyBorder="1" applyAlignment="1">
      <alignment/>
    </xf>
    <xf numFmtId="165" fontId="0" fillId="33" borderId="52" xfId="0" applyNumberFormat="1" applyFill="1" applyBorder="1" applyAlignment="1">
      <alignment/>
    </xf>
    <xf numFmtId="0" fontId="4" fillId="0" borderId="54" xfId="0" applyFont="1" applyBorder="1" applyAlignment="1">
      <alignment/>
    </xf>
    <xf numFmtId="165" fontId="0" fillId="0" borderId="54" xfId="0" applyNumberFormat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57" xfId="0" applyNumberFormat="1" applyBorder="1" applyAlignment="1">
      <alignment/>
    </xf>
    <xf numFmtId="0" fontId="0" fillId="33" borderId="53" xfId="0" applyFill="1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>
      <alignment/>
    </xf>
    <xf numFmtId="165" fontId="4" fillId="0" borderId="60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4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2" xfId="0" applyFont="1" applyBorder="1" applyAlignment="1">
      <alignment/>
    </xf>
    <xf numFmtId="165" fontId="0" fillId="0" borderId="63" xfId="0" applyNumberFormat="1" applyBorder="1" applyAlignment="1">
      <alignment/>
    </xf>
    <xf numFmtId="0" fontId="4" fillId="0" borderId="64" xfId="0" applyFont="1" applyBorder="1" applyAlignment="1">
      <alignment/>
    </xf>
    <xf numFmtId="165" fontId="0" fillId="0" borderId="65" xfId="0" applyNumberFormat="1" applyBorder="1" applyAlignment="1">
      <alignment/>
    </xf>
    <xf numFmtId="0" fontId="5" fillId="0" borderId="40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5" fillId="0" borderId="42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165" fontId="0" fillId="0" borderId="68" xfId="0" applyNumberFormat="1" applyBorder="1" applyAlignment="1">
      <alignment/>
    </xf>
    <xf numFmtId="0" fontId="4" fillId="0" borderId="61" xfId="0" applyFont="1" applyBorder="1" applyAlignment="1">
      <alignment/>
    </xf>
    <xf numFmtId="165" fontId="0" fillId="0" borderId="69" xfId="0" applyNumberFormat="1" applyBorder="1" applyAlignment="1">
      <alignment/>
    </xf>
    <xf numFmtId="165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65" fontId="0" fillId="0" borderId="58" xfId="0" applyNumberForma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165" fontId="0" fillId="33" borderId="75" xfId="0" applyNumberFormat="1" applyFill="1" applyBorder="1" applyAlignment="1">
      <alignment/>
    </xf>
    <xf numFmtId="165" fontId="0" fillId="33" borderId="76" xfId="0" applyNumberFormat="1" applyFill="1" applyBorder="1" applyAlignment="1">
      <alignment/>
    </xf>
    <xf numFmtId="165" fontId="4" fillId="0" borderId="77" xfId="0" applyNumberFormat="1" applyFont="1" applyBorder="1" applyAlignment="1">
      <alignment/>
    </xf>
    <xf numFmtId="165" fontId="4" fillId="0" borderId="78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65" fontId="4" fillId="0" borderId="15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165" fontId="4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5" fontId="5" fillId="33" borderId="2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79" xfId="0" applyFont="1" applyFill="1" applyBorder="1" applyAlignment="1">
      <alignment/>
    </xf>
    <xf numFmtId="165" fontId="4" fillId="0" borderId="0" xfId="0" applyNumberFormat="1" applyFont="1" applyAlignment="1">
      <alignment/>
    </xf>
    <xf numFmtId="165" fontId="0" fillId="0" borderId="74" xfId="0" applyNumberFormat="1" applyBorder="1" applyAlignment="1">
      <alignment/>
    </xf>
    <xf numFmtId="165" fontId="0" fillId="33" borderId="21" xfId="0" applyNumberFormat="1" applyFill="1" applyBorder="1" applyAlignment="1">
      <alignment/>
    </xf>
    <xf numFmtId="165" fontId="0" fillId="0" borderId="17" xfId="0" applyNumberFormat="1" applyBorder="1" applyAlignment="1">
      <alignment/>
    </xf>
    <xf numFmtId="165" fontId="0" fillId="33" borderId="19" xfId="0" applyNumberFormat="1" applyFill="1" applyBorder="1" applyAlignment="1">
      <alignment/>
    </xf>
    <xf numFmtId="0" fontId="4" fillId="33" borderId="80" xfId="0" applyFont="1" applyFill="1" applyBorder="1" applyAlignment="1">
      <alignment/>
    </xf>
    <xf numFmtId="165" fontId="0" fillId="0" borderId="81" xfId="0" applyNumberFormat="1" applyBorder="1" applyAlignment="1">
      <alignment/>
    </xf>
    <xf numFmtId="165" fontId="0" fillId="33" borderId="13" xfId="0" applyNumberFormat="1" applyFill="1" applyBorder="1" applyAlignment="1">
      <alignment/>
    </xf>
    <xf numFmtId="165" fontId="0" fillId="0" borderId="82" xfId="0" applyNumberFormat="1" applyBorder="1" applyAlignment="1">
      <alignment/>
    </xf>
    <xf numFmtId="165" fontId="0" fillId="33" borderId="83" xfId="0" applyNumberFormat="1" applyFill="1" applyBorder="1" applyAlignment="1">
      <alignment/>
    </xf>
    <xf numFmtId="165" fontId="0" fillId="33" borderId="80" xfId="0" applyNumberFormat="1" applyFill="1" applyBorder="1" applyAlignment="1">
      <alignment/>
    </xf>
    <xf numFmtId="165" fontId="0" fillId="0" borderId="84" xfId="0" applyNumberFormat="1" applyBorder="1" applyAlignment="1">
      <alignment/>
    </xf>
    <xf numFmtId="165" fontId="0" fillId="33" borderId="16" xfId="0" applyNumberFormat="1" applyFill="1" applyBorder="1" applyAlignment="1">
      <alignment/>
    </xf>
    <xf numFmtId="165" fontId="0" fillId="0" borderId="85" xfId="0" applyNumberFormat="1" applyBorder="1" applyAlignment="1">
      <alignment/>
    </xf>
    <xf numFmtId="165" fontId="0" fillId="33" borderId="86" xfId="0" applyNumberFormat="1" applyFill="1" applyBorder="1" applyAlignment="1">
      <alignment/>
    </xf>
    <xf numFmtId="0" fontId="0" fillId="0" borderId="13" xfId="0" applyBorder="1" applyAlignment="1">
      <alignment/>
    </xf>
    <xf numFmtId="165" fontId="0" fillId="0" borderId="61" xfId="0" applyNumberFormat="1" applyBorder="1" applyAlignment="1">
      <alignment/>
    </xf>
    <xf numFmtId="165" fontId="0" fillId="0" borderId="87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165" fontId="0" fillId="34" borderId="17" xfId="0" applyNumberForma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82" xfId="0" applyBorder="1" applyAlignment="1">
      <alignment/>
    </xf>
    <xf numFmtId="165" fontId="0" fillId="0" borderId="88" xfId="0" applyNumberFormat="1" applyBorder="1" applyAlignment="1">
      <alignment/>
    </xf>
    <xf numFmtId="0" fontId="0" fillId="0" borderId="83" xfId="0" applyBorder="1" applyAlignment="1">
      <alignment/>
    </xf>
    <xf numFmtId="165" fontId="0" fillId="34" borderId="15" xfId="0" applyNumberFormat="1" applyFill="1" applyBorder="1" applyAlignment="1">
      <alignment/>
    </xf>
    <xf numFmtId="165" fontId="0" fillId="11" borderId="15" xfId="0" applyNumberFormat="1" applyFill="1" applyBorder="1" applyAlignment="1">
      <alignment/>
    </xf>
    <xf numFmtId="0" fontId="4" fillId="0" borderId="89" xfId="0" applyFont="1" applyBorder="1" applyAlignment="1">
      <alignment/>
    </xf>
    <xf numFmtId="165" fontId="0" fillId="0" borderId="90" xfId="0" applyNumberFormat="1" applyBorder="1" applyAlignment="1">
      <alignment/>
    </xf>
    <xf numFmtId="0" fontId="0" fillId="0" borderId="70" xfId="0" applyBorder="1" applyAlignment="1">
      <alignment/>
    </xf>
    <xf numFmtId="0" fontId="4" fillId="0" borderId="91" xfId="0" applyFont="1" applyBorder="1" applyAlignment="1">
      <alignment/>
    </xf>
    <xf numFmtId="165" fontId="0" fillId="0" borderId="92" xfId="0" applyNumberFormat="1" applyBorder="1" applyAlignment="1">
      <alignment/>
    </xf>
    <xf numFmtId="0" fontId="0" fillId="0" borderId="93" xfId="0" applyBorder="1" applyAlignment="1">
      <alignment/>
    </xf>
    <xf numFmtId="165" fontId="0" fillId="11" borderId="19" xfId="0" applyNumberFormat="1" applyFill="1" applyBorder="1" applyAlignment="1">
      <alignment/>
    </xf>
    <xf numFmtId="0" fontId="0" fillId="0" borderId="88" xfId="0" applyBorder="1" applyAlignment="1">
      <alignment/>
    </xf>
    <xf numFmtId="165" fontId="0" fillId="0" borderId="83" xfId="0" applyNumberFormat="1" applyBorder="1" applyAlignment="1">
      <alignment/>
    </xf>
    <xf numFmtId="165" fontId="0" fillId="33" borderId="57" xfId="0" applyNumberFormat="1" applyFill="1" applyBorder="1" applyAlignment="1">
      <alignment/>
    </xf>
    <xf numFmtId="165" fontId="0" fillId="0" borderId="94" xfId="0" applyNumberFormat="1" applyBorder="1" applyAlignment="1">
      <alignment/>
    </xf>
    <xf numFmtId="165" fontId="0" fillId="33" borderId="95" xfId="0" applyNumberFormat="1" applyFill="1" applyBorder="1" applyAlignment="1">
      <alignment/>
    </xf>
    <xf numFmtId="0" fontId="4" fillId="33" borderId="96" xfId="0" applyFont="1" applyFill="1" applyBorder="1" applyAlignment="1">
      <alignment/>
    </xf>
    <xf numFmtId="165" fontId="0" fillId="0" borderId="97" xfId="0" applyNumberFormat="1" applyBorder="1" applyAlignment="1">
      <alignment/>
    </xf>
    <xf numFmtId="165" fontId="0" fillId="33" borderId="79" xfId="0" applyNumberFormat="1" applyFill="1" applyBorder="1" applyAlignment="1">
      <alignment/>
    </xf>
    <xf numFmtId="165" fontId="0" fillId="0" borderId="98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Fill="1" applyBorder="1" applyAlignment="1">
      <alignment/>
    </xf>
    <xf numFmtId="165" fontId="0" fillId="0" borderId="80" xfId="0" applyNumberFormat="1" applyFill="1" applyBorder="1" applyAlignment="1">
      <alignment/>
    </xf>
    <xf numFmtId="165" fontId="0" fillId="0" borderId="99" xfId="0" applyNumberFormat="1" applyFill="1" applyBorder="1" applyAlignment="1">
      <alignment/>
    </xf>
    <xf numFmtId="0" fontId="0" fillId="0" borderId="86" xfId="0" applyFill="1" applyBorder="1" applyAlignment="1">
      <alignment/>
    </xf>
    <xf numFmtId="0" fontId="0" fillId="0" borderId="94" xfId="0" applyBorder="1" applyAlignment="1">
      <alignment/>
    </xf>
    <xf numFmtId="165" fontId="0" fillId="0" borderId="100" xfId="0" applyNumberFormat="1" applyBorder="1" applyAlignment="1">
      <alignment/>
    </xf>
    <xf numFmtId="165" fontId="0" fillId="0" borderId="95" xfId="0" applyNumberFormat="1" applyBorder="1" applyAlignment="1">
      <alignment/>
    </xf>
    <xf numFmtId="165" fontId="0" fillId="0" borderId="96" xfId="0" applyNumberFormat="1" applyFill="1" applyBorder="1" applyAlignment="1">
      <alignment/>
    </xf>
    <xf numFmtId="0" fontId="0" fillId="0" borderId="89" xfId="0" applyBorder="1" applyAlignment="1">
      <alignment/>
    </xf>
    <xf numFmtId="165" fontId="0" fillId="0" borderId="89" xfId="0" applyNumberFormat="1" applyBorder="1" applyAlignment="1">
      <alignment/>
    </xf>
    <xf numFmtId="165" fontId="0" fillId="0" borderId="58" xfId="0" applyNumberFormat="1" applyFill="1" applyBorder="1" applyAlignment="1">
      <alignment/>
    </xf>
    <xf numFmtId="165" fontId="55" fillId="0" borderId="79" xfId="0" applyNumberFormat="1" applyFont="1" applyBorder="1" applyAlignment="1">
      <alignment/>
    </xf>
    <xf numFmtId="165" fontId="55" fillId="0" borderId="11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6" fillId="0" borderId="4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49" xfId="0" applyNumberFormat="1" applyFill="1" applyBorder="1" applyAlignment="1">
      <alignment/>
    </xf>
    <xf numFmtId="165" fontId="4" fillId="0" borderId="33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165" fontId="4" fillId="0" borderId="4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44" xfId="0" applyNumberFormat="1" applyFont="1" applyBorder="1" applyAlignment="1">
      <alignment/>
    </xf>
    <xf numFmtId="165" fontId="4" fillId="0" borderId="45" xfId="0" applyNumberFormat="1" applyFont="1" applyBorder="1" applyAlignment="1">
      <alignment/>
    </xf>
    <xf numFmtId="165" fontId="0" fillId="0" borderId="30" xfId="0" applyNumberFormat="1" applyFill="1" applyBorder="1" applyAlignment="1">
      <alignment/>
    </xf>
    <xf numFmtId="166" fontId="0" fillId="33" borderId="14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166" fontId="0" fillId="0" borderId="84" xfId="0" applyNumberFormat="1" applyBorder="1" applyAlignment="1">
      <alignment/>
    </xf>
    <xf numFmtId="166" fontId="0" fillId="0" borderId="85" xfId="0" applyNumberFormat="1" applyBorder="1" applyAlignment="1">
      <alignment/>
    </xf>
    <xf numFmtId="0" fontId="0" fillId="33" borderId="11" xfId="0" applyFill="1" applyBorder="1" applyAlignment="1">
      <alignment/>
    </xf>
    <xf numFmtId="165" fontId="0" fillId="6" borderId="0" xfId="0" applyNumberFormat="1" applyFill="1" applyAlignment="1">
      <alignment/>
    </xf>
    <xf numFmtId="165" fontId="4" fillId="0" borderId="16" xfId="0" applyNumberFormat="1" applyFont="1" applyBorder="1" applyAlignment="1">
      <alignment/>
    </xf>
    <xf numFmtId="165" fontId="0" fillId="35" borderId="18" xfId="0" applyNumberFormat="1" applyFill="1" applyBorder="1" applyAlignment="1">
      <alignment/>
    </xf>
    <xf numFmtId="165" fontId="0" fillId="35" borderId="19" xfId="0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4" fillId="0" borderId="0" xfId="0" applyFont="1" applyAlignment="1">
      <alignment/>
    </xf>
    <xf numFmtId="0" fontId="0" fillId="35" borderId="18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81" xfId="0" applyBorder="1" applyAlignment="1">
      <alignment/>
    </xf>
    <xf numFmtId="165" fontId="0" fillId="36" borderId="16" xfId="0" applyNumberFormat="1" applyFill="1" applyBorder="1" applyAlignment="1">
      <alignment/>
    </xf>
    <xf numFmtId="165" fontId="0" fillId="36" borderId="15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5" fontId="4" fillId="0" borderId="59" xfId="0" applyNumberFormat="1" applyFont="1" applyBorder="1" applyAlignment="1">
      <alignment/>
    </xf>
    <xf numFmtId="165" fontId="0" fillId="0" borderId="101" xfId="0" applyNumberFormat="1" applyBorder="1" applyAlignment="1">
      <alignment/>
    </xf>
    <xf numFmtId="165" fontId="4" fillId="0" borderId="89" xfId="0" applyNumberFormat="1" applyFont="1" applyBorder="1" applyAlignment="1">
      <alignment/>
    </xf>
    <xf numFmtId="0" fontId="0" fillId="0" borderId="61" xfId="0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15" xfId="0" applyFill="1" applyBorder="1" applyAlignment="1">
      <alignment/>
    </xf>
    <xf numFmtId="165" fontId="56" fillId="0" borderId="17" xfId="0" applyNumberFormat="1" applyFont="1" applyBorder="1" applyAlignment="1">
      <alignment/>
    </xf>
    <xf numFmtId="165" fontId="0" fillId="13" borderId="19" xfId="0" applyNumberForma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56" fillId="0" borderId="15" xfId="0" applyNumberFormat="1" applyFont="1" applyBorder="1" applyAlignment="1">
      <alignment/>
    </xf>
    <xf numFmtId="165" fontId="56" fillId="0" borderId="15" xfId="0" applyNumberFormat="1" applyFont="1" applyFill="1" applyBorder="1" applyAlignment="1">
      <alignment/>
    </xf>
    <xf numFmtId="0" fontId="56" fillId="0" borderId="15" xfId="0" applyFont="1" applyBorder="1" applyAlignment="1">
      <alignment/>
    </xf>
    <xf numFmtId="0" fontId="0" fillId="0" borderId="90" xfId="0" applyBorder="1" applyAlignment="1">
      <alignment/>
    </xf>
    <xf numFmtId="0" fontId="4" fillId="0" borderId="9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86" xfId="0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0" fontId="57" fillId="0" borderId="102" xfId="0" applyFont="1" applyBorder="1" applyAlignment="1">
      <alignment horizontal="center" vertical="center"/>
    </xf>
    <xf numFmtId="0" fontId="57" fillId="0" borderId="103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102" xfId="0" applyFont="1" applyBorder="1" applyAlignment="1">
      <alignment horizontal="right" vertical="center"/>
    </xf>
    <xf numFmtId="14" fontId="57" fillId="0" borderId="103" xfId="0" applyNumberFormat="1" applyFont="1" applyBorder="1" applyAlignment="1">
      <alignment horizontal="right" vertical="center"/>
    </xf>
    <xf numFmtId="4" fontId="57" fillId="0" borderId="31" xfId="0" applyNumberFormat="1" applyFont="1" applyBorder="1" applyAlignment="1">
      <alignment horizontal="right" vertical="center"/>
    </xf>
    <xf numFmtId="0" fontId="57" fillId="0" borderId="104" xfId="0" applyFont="1" applyBorder="1" applyAlignment="1">
      <alignment horizontal="left" vertical="center"/>
    </xf>
    <xf numFmtId="0" fontId="57" fillId="0" borderId="105" xfId="0" applyFont="1" applyBorder="1" applyAlignment="1">
      <alignment horizontal="left" vertical="center"/>
    </xf>
    <xf numFmtId="4" fontId="57" fillId="0" borderId="60" xfId="0" applyNumberFormat="1" applyFont="1" applyBorder="1" applyAlignment="1">
      <alignment horizontal="right" vertical="center"/>
    </xf>
    <xf numFmtId="0" fontId="0" fillId="0" borderId="59" xfId="0" applyBorder="1" applyAlignment="1">
      <alignment/>
    </xf>
    <xf numFmtId="14" fontId="58" fillId="0" borderId="103" xfId="0" applyNumberFormat="1" applyFont="1" applyBorder="1" applyAlignment="1">
      <alignment horizontal="right" vertical="center"/>
    </xf>
    <xf numFmtId="165" fontId="0" fillId="0" borderId="80" xfId="0" applyNumberFormat="1" applyBorder="1" applyAlignment="1">
      <alignment/>
    </xf>
    <xf numFmtId="165" fontId="0" fillId="0" borderId="86" xfId="0" applyNumberFormat="1" applyBorder="1" applyAlignment="1">
      <alignment/>
    </xf>
    <xf numFmtId="173" fontId="0" fillId="0" borderId="16" xfId="0" applyNumberFormat="1" applyBorder="1" applyAlignment="1">
      <alignment/>
    </xf>
    <xf numFmtId="165" fontId="0" fillId="33" borderId="58" xfId="0" applyNumberFormat="1" applyFill="1" applyBorder="1" applyAlignment="1">
      <alignment/>
    </xf>
    <xf numFmtId="0" fontId="56" fillId="0" borderId="40" xfId="0" applyFont="1" applyBorder="1" applyAlignment="1">
      <alignment/>
    </xf>
    <xf numFmtId="2" fontId="0" fillId="0" borderId="106" xfId="0" applyNumberFormat="1" applyBorder="1" applyAlignment="1">
      <alignment/>
    </xf>
    <xf numFmtId="2" fontId="0" fillId="0" borderId="107" xfId="0" applyNumberFormat="1" applyBorder="1" applyAlignment="1">
      <alignment/>
    </xf>
    <xf numFmtId="165" fontId="0" fillId="0" borderId="108" xfId="0" applyNumberFormat="1" applyBorder="1" applyAlignment="1">
      <alignment/>
    </xf>
    <xf numFmtId="2" fontId="0" fillId="0" borderId="109" xfId="0" applyNumberFormat="1" applyBorder="1" applyAlignment="1">
      <alignment/>
    </xf>
    <xf numFmtId="2" fontId="0" fillId="0" borderId="110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43" xfId="0" applyBorder="1" applyAlignment="1">
      <alignment/>
    </xf>
    <xf numFmtId="0" fontId="0" fillId="0" borderId="68" xfId="0" applyBorder="1" applyAlignment="1">
      <alignment/>
    </xf>
    <xf numFmtId="0" fontId="0" fillId="0" borderId="111" xfId="0" applyBorder="1" applyAlignment="1">
      <alignment/>
    </xf>
    <xf numFmtId="0" fontId="0" fillId="0" borderId="48" xfId="0" applyBorder="1" applyAlignment="1">
      <alignment/>
    </xf>
    <xf numFmtId="0" fontId="55" fillId="0" borderId="112" xfId="0" applyFont="1" applyBorder="1" applyAlignment="1">
      <alignment/>
    </xf>
    <xf numFmtId="2" fontId="55" fillId="0" borderId="113" xfId="0" applyNumberFormat="1" applyFont="1" applyBorder="1" applyAlignment="1">
      <alignment/>
    </xf>
    <xf numFmtId="2" fontId="55" fillId="0" borderId="24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5" fillId="0" borderId="114" xfId="0" applyNumberFormat="1" applyFont="1" applyBorder="1" applyAlignment="1">
      <alignment/>
    </xf>
    <xf numFmtId="0" fontId="55" fillId="0" borderId="111" xfId="0" applyFont="1" applyBorder="1" applyAlignment="1">
      <alignment/>
    </xf>
    <xf numFmtId="2" fontId="55" fillId="0" borderId="109" xfId="0" applyNumberFormat="1" applyFont="1" applyBorder="1" applyAlignment="1">
      <alignment/>
    </xf>
    <xf numFmtId="165" fontId="55" fillId="0" borderId="27" xfId="0" applyNumberFormat="1" applyFont="1" applyBorder="1" applyAlignment="1">
      <alignment/>
    </xf>
    <xf numFmtId="165" fontId="55" fillId="0" borderId="28" xfId="0" applyNumberFormat="1" applyFont="1" applyBorder="1" applyAlignment="1">
      <alignment/>
    </xf>
    <xf numFmtId="0" fontId="55" fillId="0" borderId="43" xfId="0" applyFont="1" applyBorder="1" applyAlignment="1">
      <alignment/>
    </xf>
    <xf numFmtId="2" fontId="55" fillId="0" borderId="106" xfId="0" applyNumberFormat="1" applyFont="1" applyBorder="1" applyAlignment="1">
      <alignment/>
    </xf>
    <xf numFmtId="165" fontId="55" fillId="0" borderId="10" xfId="0" applyNumberFormat="1" applyFont="1" applyBorder="1" applyAlignment="1">
      <alignment/>
    </xf>
    <xf numFmtId="165" fontId="55" fillId="0" borderId="32" xfId="0" applyNumberFormat="1" applyFont="1" applyBorder="1" applyAlignment="1">
      <alignment/>
    </xf>
    <xf numFmtId="0" fontId="55" fillId="0" borderId="68" xfId="0" applyFont="1" applyBorder="1" applyAlignment="1">
      <alignment/>
    </xf>
    <xf numFmtId="2" fontId="55" fillId="0" borderId="110" xfId="0" applyNumberFormat="1" applyFont="1" applyBorder="1" applyAlignment="1">
      <alignment/>
    </xf>
    <xf numFmtId="165" fontId="55" fillId="0" borderId="38" xfId="0" applyNumberFormat="1" applyFont="1" applyBorder="1" applyAlignment="1">
      <alignment/>
    </xf>
    <xf numFmtId="165" fontId="55" fillId="0" borderId="39" xfId="0" applyNumberFormat="1" applyFont="1" applyBorder="1" applyAlignment="1">
      <alignment/>
    </xf>
    <xf numFmtId="0" fontId="55" fillId="0" borderId="0" xfId="0" applyFont="1" applyAlignment="1">
      <alignment/>
    </xf>
    <xf numFmtId="165" fontId="55" fillId="0" borderId="12" xfId="0" applyNumberFormat="1" applyFont="1" applyBorder="1" applyAlignment="1">
      <alignment/>
    </xf>
    <xf numFmtId="165" fontId="55" fillId="0" borderId="13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5" fillId="0" borderId="15" xfId="0" applyNumberFormat="1" applyFont="1" applyBorder="1" applyAlignment="1">
      <alignment/>
    </xf>
    <xf numFmtId="165" fontId="55" fillId="0" borderId="16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55" fillId="0" borderId="18" xfId="0" applyNumberFormat="1" applyFont="1" applyBorder="1" applyAlignment="1">
      <alignment/>
    </xf>
    <xf numFmtId="165" fontId="55" fillId="0" borderId="19" xfId="0" applyNumberFormat="1" applyFont="1" applyBorder="1" applyAlignment="1">
      <alignment/>
    </xf>
    <xf numFmtId="0" fontId="55" fillId="0" borderId="21" xfId="0" applyFont="1" applyBorder="1" applyAlignment="1">
      <alignment/>
    </xf>
    <xf numFmtId="2" fontId="55" fillId="0" borderId="115" xfId="0" applyNumberFormat="1" applyFont="1" applyBorder="1" applyAlignment="1">
      <alignment/>
    </xf>
    <xf numFmtId="165" fontId="55" fillId="0" borderId="116" xfId="0" applyNumberFormat="1" applyFont="1" applyBorder="1" applyAlignment="1">
      <alignment/>
    </xf>
    <xf numFmtId="165" fontId="55" fillId="0" borderId="117" xfId="0" applyNumberFormat="1" applyFont="1" applyBorder="1" applyAlignment="1">
      <alignment/>
    </xf>
    <xf numFmtId="0" fontId="55" fillId="0" borderId="58" xfId="0" applyFont="1" applyBorder="1" applyAlignment="1">
      <alignment/>
    </xf>
    <xf numFmtId="2" fontId="55" fillId="0" borderId="118" xfId="0" applyNumberFormat="1" applyFont="1" applyBorder="1" applyAlignment="1">
      <alignment/>
    </xf>
    <xf numFmtId="165" fontId="55" fillId="0" borderId="119" xfId="0" applyNumberFormat="1" applyFont="1" applyBorder="1" applyAlignment="1">
      <alignment/>
    </xf>
    <xf numFmtId="165" fontId="55" fillId="0" borderId="69" xfId="0" applyNumberFormat="1" applyFont="1" applyBorder="1" applyAlignment="1">
      <alignment/>
    </xf>
    <xf numFmtId="0" fontId="59" fillId="0" borderId="120" xfId="0" applyFont="1" applyBorder="1" applyAlignment="1">
      <alignment horizontal="center" vertical="center" wrapText="1"/>
    </xf>
    <xf numFmtId="0" fontId="60" fillId="0" borderId="121" xfId="0" applyFont="1" applyBorder="1" applyAlignment="1">
      <alignment horizontal="center" vertical="center" wrapText="1"/>
    </xf>
    <xf numFmtId="0" fontId="60" fillId="0" borderId="103" xfId="0" applyFont="1" applyBorder="1" applyAlignment="1">
      <alignment horizontal="center" vertical="center" wrapText="1"/>
    </xf>
    <xf numFmtId="0" fontId="60" fillId="0" borderId="103" xfId="0" applyFont="1" applyBorder="1" applyAlignment="1">
      <alignment horizontal="justify" vertical="center" wrapText="1"/>
    </xf>
    <xf numFmtId="0" fontId="60" fillId="0" borderId="122" xfId="0" applyFont="1" applyBorder="1" applyAlignment="1">
      <alignment horizontal="justify" vertical="center" wrapText="1"/>
    </xf>
    <xf numFmtId="0" fontId="59" fillId="0" borderId="103" xfId="0" applyFont="1" applyBorder="1" applyAlignment="1">
      <alignment horizontal="justify" vertical="center" wrapText="1"/>
    </xf>
    <xf numFmtId="0" fontId="60" fillId="0" borderId="103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right" vertical="center" wrapText="1"/>
    </xf>
    <xf numFmtId="0" fontId="0" fillId="0" borderId="123" xfId="0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2" fontId="61" fillId="0" borderId="124" xfId="0" applyNumberFormat="1" applyFont="1" applyBorder="1" applyAlignment="1">
      <alignment/>
    </xf>
    <xf numFmtId="2" fontId="61" fillId="0" borderId="125" xfId="0" applyNumberFormat="1" applyFont="1" applyBorder="1" applyAlignment="1">
      <alignment/>
    </xf>
    <xf numFmtId="2" fontId="5" fillId="0" borderId="125" xfId="0" applyNumberFormat="1" applyFont="1" applyBorder="1" applyAlignment="1">
      <alignment/>
    </xf>
    <xf numFmtId="2" fontId="61" fillId="0" borderId="63" xfId="0" applyNumberFormat="1" applyFont="1" applyBorder="1" applyAlignment="1">
      <alignment/>
    </xf>
    <xf numFmtId="0" fontId="6" fillId="0" borderId="118" xfId="0" applyFont="1" applyBorder="1" applyAlignment="1">
      <alignment/>
    </xf>
    <xf numFmtId="0" fontId="6" fillId="0" borderId="119" xfId="0" applyFont="1" applyBorder="1" applyAlignment="1">
      <alignment/>
    </xf>
    <xf numFmtId="0" fontId="6" fillId="0" borderId="119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2" fillId="0" borderId="109" xfId="0" applyFont="1" applyFill="1" applyBorder="1" applyAlignment="1">
      <alignment/>
    </xf>
    <xf numFmtId="165" fontId="62" fillId="0" borderId="27" xfId="0" applyNumberFormat="1" applyFont="1" applyBorder="1" applyAlignment="1">
      <alignment/>
    </xf>
    <xf numFmtId="165" fontId="62" fillId="0" borderId="28" xfId="0" applyNumberFormat="1" applyFont="1" applyBorder="1" applyAlignment="1">
      <alignment/>
    </xf>
    <xf numFmtId="0" fontId="6" fillId="0" borderId="106" xfId="0" applyFont="1" applyBorder="1" applyAlignment="1">
      <alignment/>
    </xf>
    <xf numFmtId="165" fontId="62" fillId="0" borderId="10" xfId="0" applyNumberFormat="1" applyFont="1" applyBorder="1" applyAlignment="1">
      <alignment/>
    </xf>
    <xf numFmtId="165" fontId="62" fillId="0" borderId="32" xfId="0" applyNumberFormat="1" applyFont="1" applyBorder="1" applyAlignment="1">
      <alignment/>
    </xf>
    <xf numFmtId="0" fontId="6" fillId="0" borderId="110" xfId="0" applyFont="1" applyFill="1" applyBorder="1" applyAlignment="1">
      <alignment/>
    </xf>
    <xf numFmtId="165" fontId="62" fillId="0" borderId="38" xfId="0" applyNumberFormat="1" applyFont="1" applyBorder="1" applyAlignment="1">
      <alignment/>
    </xf>
    <xf numFmtId="165" fontId="62" fillId="0" borderId="39" xfId="0" applyNumberFormat="1" applyFont="1" applyBorder="1" applyAlignment="1">
      <alignment/>
    </xf>
    <xf numFmtId="0" fontId="4" fillId="0" borderId="124" xfId="0" applyFont="1" applyFill="1" applyBorder="1" applyAlignment="1">
      <alignment/>
    </xf>
    <xf numFmtId="0" fontId="0" fillId="0" borderId="125" xfId="0" applyBorder="1" applyAlignment="1">
      <alignment/>
    </xf>
    <xf numFmtId="1" fontId="0" fillId="0" borderId="125" xfId="0" applyNumberFormat="1" applyBorder="1" applyAlignment="1">
      <alignment/>
    </xf>
    <xf numFmtId="1" fontId="4" fillId="0" borderId="63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0" xfId="0" applyFont="1" applyFill="1" applyBorder="1" applyAlignment="1">
      <alignment/>
    </xf>
    <xf numFmtId="165" fontId="0" fillId="0" borderId="38" xfId="0" applyNumberFormat="1" applyFill="1" applyBorder="1" applyAlignment="1">
      <alignment/>
    </xf>
    <xf numFmtId="165" fontId="0" fillId="0" borderId="126" xfId="0" applyNumberFormat="1" applyFill="1" applyBorder="1" applyAlignment="1">
      <alignment/>
    </xf>
    <xf numFmtId="165" fontId="60" fillId="0" borderId="103" xfId="0" applyNumberFormat="1" applyFont="1" applyBorder="1" applyAlignment="1">
      <alignment horizontal="right" vertical="center" wrapText="1"/>
    </xf>
    <xf numFmtId="165" fontId="0" fillId="0" borderId="123" xfId="0" applyNumberFormat="1" applyBorder="1" applyAlignment="1">
      <alignment/>
    </xf>
    <xf numFmtId="0" fontId="4" fillId="33" borderId="59" xfId="0" applyFont="1" applyFill="1" applyBorder="1" applyAlignment="1">
      <alignment/>
    </xf>
    <xf numFmtId="0" fontId="4" fillId="33" borderId="61" xfId="0" applyFont="1" applyFill="1" applyBorder="1" applyAlignment="1">
      <alignment/>
    </xf>
    <xf numFmtId="165" fontId="0" fillId="33" borderId="69" xfId="0" applyNumberFormat="1" applyFill="1" applyBorder="1" applyAlignment="1">
      <alignment/>
    </xf>
    <xf numFmtId="165" fontId="0" fillId="33" borderId="70" xfId="0" applyNumberFormat="1" applyFill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0" fillId="0" borderId="127" xfId="0" applyFill="1" applyBorder="1" applyAlignment="1">
      <alignment/>
    </xf>
    <xf numFmtId="40" fontId="0" fillId="0" borderId="128" xfId="0" applyNumberFormat="1" applyFill="1" applyBorder="1" applyAlignment="1">
      <alignment/>
    </xf>
    <xf numFmtId="40" fontId="0" fillId="36" borderId="129" xfId="0" applyNumberFormat="1" applyFill="1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175" fontId="0" fillId="0" borderId="133" xfId="0" applyNumberFormat="1" applyBorder="1" applyAlignment="1">
      <alignment/>
    </xf>
    <xf numFmtId="40" fontId="0" fillId="36" borderId="134" xfId="0" applyNumberFormat="1" applyFill="1" applyBorder="1" applyAlignment="1">
      <alignment/>
    </xf>
    <xf numFmtId="17" fontId="0" fillId="0" borderId="135" xfId="0" applyNumberFormat="1" applyBorder="1" applyAlignment="1">
      <alignment/>
    </xf>
    <xf numFmtId="0" fontId="0" fillId="38" borderId="136" xfId="0" applyFill="1" applyBorder="1" applyAlignment="1">
      <alignment/>
    </xf>
    <xf numFmtId="0" fontId="4" fillId="39" borderId="137" xfId="0" applyFont="1" applyFill="1" applyBorder="1" applyAlignment="1">
      <alignment horizontal="center" vertical="center" wrapText="1"/>
    </xf>
    <xf numFmtId="0" fontId="0" fillId="38" borderId="138" xfId="0" applyFill="1" applyBorder="1" applyAlignment="1">
      <alignment/>
    </xf>
    <xf numFmtId="176" fontId="0" fillId="38" borderId="139" xfId="0" applyNumberFormat="1" applyFill="1" applyBorder="1" applyAlignment="1">
      <alignment/>
    </xf>
    <xf numFmtId="176" fontId="0" fillId="40" borderId="139" xfId="0" applyNumberFormat="1" applyFill="1" applyBorder="1" applyAlignment="1">
      <alignment/>
    </xf>
    <xf numFmtId="175" fontId="0" fillId="38" borderId="139" xfId="0" applyNumberFormat="1" applyFill="1" applyBorder="1" applyAlignment="1">
      <alignment/>
    </xf>
    <xf numFmtId="40" fontId="0" fillId="38" borderId="139" xfId="0" applyNumberFormat="1" applyFill="1" applyBorder="1" applyAlignment="1">
      <alignment/>
    </xf>
    <xf numFmtId="40" fontId="0" fillId="38" borderId="140" xfId="0" applyNumberFormat="1" applyFill="1" applyBorder="1" applyAlignment="1">
      <alignment/>
    </xf>
    <xf numFmtId="0" fontId="0" fillId="38" borderId="84" xfId="0" applyFill="1" applyBorder="1" applyAlignment="1">
      <alignment/>
    </xf>
    <xf numFmtId="0" fontId="0" fillId="38" borderId="141" xfId="0" applyFill="1" applyBorder="1" applyAlignment="1">
      <alignment/>
    </xf>
    <xf numFmtId="176" fontId="0" fillId="38" borderId="15" xfId="0" applyNumberFormat="1" applyFill="1" applyBorder="1" applyAlignment="1">
      <alignment/>
    </xf>
    <xf numFmtId="175" fontId="0" fillId="38" borderId="15" xfId="0" applyNumberFormat="1" applyFill="1" applyBorder="1" applyAlignment="1">
      <alignment/>
    </xf>
    <xf numFmtId="40" fontId="0" fillId="38" borderId="142" xfId="0" applyNumberFormat="1" applyFill="1" applyBorder="1" applyAlignment="1">
      <alignment/>
    </xf>
    <xf numFmtId="175" fontId="0" fillId="35" borderId="15" xfId="0" applyNumberFormat="1" applyFill="1" applyBorder="1" applyAlignment="1">
      <alignment/>
    </xf>
    <xf numFmtId="0" fontId="0" fillId="35" borderId="84" xfId="0" applyFill="1" applyBorder="1" applyAlignment="1">
      <alignment/>
    </xf>
    <xf numFmtId="0" fontId="0" fillId="35" borderId="141" xfId="0" applyFill="1" applyBorder="1" applyAlignment="1">
      <alignment/>
    </xf>
    <xf numFmtId="176" fontId="0" fillId="35" borderId="15" xfId="0" applyNumberFormat="1" applyFill="1" applyBorder="1" applyAlignment="1">
      <alignment/>
    </xf>
    <xf numFmtId="0" fontId="0" fillId="41" borderId="84" xfId="0" applyFill="1" applyBorder="1" applyAlignment="1">
      <alignment/>
    </xf>
    <xf numFmtId="0" fontId="0" fillId="41" borderId="141" xfId="0" applyFill="1" applyBorder="1" applyAlignment="1">
      <alignment/>
    </xf>
    <xf numFmtId="176" fontId="0" fillId="41" borderId="15" xfId="0" applyNumberFormat="1" applyFill="1" applyBorder="1" applyAlignment="1">
      <alignment/>
    </xf>
    <xf numFmtId="175" fontId="0" fillId="41" borderId="15" xfId="0" applyNumberFormat="1" applyFill="1" applyBorder="1" applyAlignment="1">
      <alignment/>
    </xf>
    <xf numFmtId="40" fontId="0" fillId="41" borderId="139" xfId="0" applyNumberFormat="1" applyFill="1" applyBorder="1" applyAlignment="1">
      <alignment/>
    </xf>
    <xf numFmtId="177" fontId="0" fillId="0" borderId="0" xfId="0" applyNumberFormat="1" applyFill="1" applyBorder="1" applyAlignment="1" applyProtection="1">
      <alignment/>
      <protection locked="0"/>
    </xf>
    <xf numFmtId="17" fontId="8" fillId="42" borderId="137" xfId="0" applyNumberFormat="1" applyFont="1" applyFill="1" applyBorder="1" applyAlignment="1">
      <alignment horizontal="center" vertical="center" wrapText="1"/>
    </xf>
    <xf numFmtId="4" fontId="4" fillId="39" borderId="13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143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144" xfId="0" applyFont="1" applyBorder="1" applyAlignment="1">
      <alignment horizontal="left"/>
    </xf>
    <xf numFmtId="0" fontId="4" fillId="0" borderId="145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146" xfId="0" applyFont="1" applyBorder="1" applyAlignment="1">
      <alignment horizontal="center"/>
    </xf>
    <xf numFmtId="0" fontId="4" fillId="0" borderId="147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5" fillId="0" borderId="62" xfId="0" applyFont="1" applyBorder="1" applyAlignment="1">
      <alignment horizontal="left"/>
    </xf>
    <xf numFmtId="0" fontId="5" fillId="0" borderId="150" xfId="0" applyFont="1" applyBorder="1" applyAlignment="1">
      <alignment horizontal="left"/>
    </xf>
    <xf numFmtId="0" fontId="6" fillId="0" borderId="59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/>
    </xf>
    <xf numFmtId="0" fontId="57" fillId="0" borderId="151" xfId="0" applyFont="1" applyBorder="1" applyAlignment="1">
      <alignment horizontal="center" vertical="center"/>
    </xf>
    <xf numFmtId="0" fontId="57" fillId="0" borderId="152" xfId="0" applyFont="1" applyBorder="1" applyAlignment="1">
      <alignment horizontal="center" vertical="center"/>
    </xf>
    <xf numFmtId="0" fontId="60" fillId="0" borderId="153" xfId="0" applyFont="1" applyBorder="1" applyAlignment="1">
      <alignment horizontal="center" vertical="center" wrapText="1"/>
    </xf>
    <xf numFmtId="0" fontId="60" fillId="0" borderId="122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120" xfId="0" applyFont="1" applyBorder="1" applyAlignment="1">
      <alignment horizontal="center" vertical="center" wrapText="1"/>
    </xf>
    <xf numFmtId="0" fontId="60" fillId="0" borderId="153" xfId="0" applyFont="1" applyBorder="1" applyAlignment="1">
      <alignment horizontal="justify" vertical="center" wrapText="1"/>
    </xf>
    <xf numFmtId="0" fontId="60" fillId="0" borderId="122" xfId="0" applyFont="1" applyBorder="1" applyAlignment="1">
      <alignment horizontal="justify" vertical="center" wrapText="1"/>
    </xf>
    <xf numFmtId="4" fontId="60" fillId="0" borderId="153" xfId="0" applyNumberFormat="1" applyFont="1" applyBorder="1" applyAlignment="1">
      <alignment horizontal="justify" vertical="center" wrapText="1"/>
    </xf>
    <xf numFmtId="4" fontId="60" fillId="0" borderId="122" xfId="0" applyNumberFormat="1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79" xfId="0" applyFont="1" applyBorder="1" applyAlignment="1">
      <alignment/>
    </xf>
    <xf numFmtId="0" fontId="48" fillId="0" borderId="86" xfId="0" applyFont="1" applyBorder="1" applyAlignment="1">
      <alignment/>
    </xf>
    <xf numFmtId="0" fontId="6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1</xdr:row>
      <xdr:rowOff>123825</xdr:rowOff>
    </xdr:from>
    <xdr:to>
      <xdr:col>9</xdr:col>
      <xdr:colOff>609600</xdr:colOff>
      <xdr:row>3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6648450" y="314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_%20Anexo%2013%20-%20Custo%20por%20Proj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_Anexo_13_Memoria_Calculo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Anexo I invertido"/>
      <sheetName val="Resumo Anexo I"/>
      <sheetName val="ResumoPorMan"/>
      <sheetName val="Plan3"/>
      <sheetName val="PlantioCaçador2013"/>
      <sheetName val="ResumoCaç2013"/>
      <sheetName val="ResumoSóAdm"/>
      <sheetName val="Arrend"/>
      <sheetName val="Pla.AuxCaçador2013"/>
      <sheetName val="Relatório de Compatibilidade"/>
      <sheetName val="PlantioCaçador2013c arrend"/>
      <sheetName val="índices"/>
      <sheetName val="ResumoÌND.025)"/>
      <sheetName val="descriçãoVeículos"/>
      <sheetName val="man.chamPúblÁguia"/>
      <sheetName val="cálc.arrendBertoli"/>
      <sheetName val="exemplo"/>
      <sheetName val="PLAN"/>
    </sheetNames>
    <sheetDataSet>
      <sheetData sheetId="2">
        <row r="520">
          <cell r="AN5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Anexo I invertido"/>
      <sheetName val="Pla.AuxCaçador2016HERVAL"/>
      <sheetName val="PlantioCaçador2013"/>
      <sheetName val="ResumoCaç2013"/>
      <sheetName val="ResumoSóAdm"/>
      <sheetName val="Pla.AuxCaçador2013"/>
      <sheetName val="plantio por ha-ano"/>
      <sheetName val="igpm"/>
      <sheetName val="MemóriaCálculo"/>
    </sheetNames>
    <sheetDataSet>
      <sheetData sheetId="3">
        <row r="37">
          <cell r="I37">
            <v>53.73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"/>
  <sheetViews>
    <sheetView tabSelected="1" zoomScalePageLayoutView="0" workbookViewId="0" topLeftCell="L1">
      <selection activeCell="U26" sqref="U26"/>
    </sheetView>
  </sheetViews>
  <sheetFormatPr defaultColWidth="9.140625" defaultRowHeight="15"/>
  <cols>
    <col min="3" max="3" width="14.140625" style="0" bestFit="1" customWidth="1"/>
    <col min="5" max="5" width="11.57421875" style="0" bestFit="1" customWidth="1"/>
    <col min="6" max="6" width="10.57421875" style="0" bestFit="1" customWidth="1"/>
    <col min="8" max="8" width="10.57421875" style="0" bestFit="1" customWidth="1"/>
    <col min="9" max="9" width="16.57421875" style="0" bestFit="1" customWidth="1"/>
    <col min="17" max="17" width="19.57421875" style="0" bestFit="1" customWidth="1"/>
  </cols>
  <sheetData>
    <row r="1" ht="15.75" thickBot="1"/>
    <row r="2" spans="1:25" ht="16.5" thickBot="1" thickTop="1">
      <c r="A2" t="s">
        <v>179</v>
      </c>
      <c r="D2" s="13" t="s">
        <v>86</v>
      </c>
      <c r="E2" s="14"/>
      <c r="F2" s="145"/>
      <c r="G2" s="13" t="s">
        <v>87</v>
      </c>
      <c r="H2" s="145"/>
      <c r="I2" s="178"/>
      <c r="K2" s="13"/>
      <c r="L2" s="145" t="s">
        <v>169</v>
      </c>
      <c r="R2" s="401" t="s">
        <v>364</v>
      </c>
      <c r="S2" s="402"/>
      <c r="T2" s="402"/>
      <c r="U2" s="402"/>
      <c r="V2" s="402"/>
      <c r="W2" s="402"/>
      <c r="X2" s="402"/>
      <c r="Y2" s="403"/>
    </row>
    <row r="3" spans="1:25" ht="15.75" thickTop="1">
      <c r="A3" s="13"/>
      <c r="B3" s="14"/>
      <c r="C3" s="145"/>
      <c r="D3" s="21">
        <v>2015</v>
      </c>
      <c r="E3" s="18"/>
      <c r="F3" s="124" t="s">
        <v>173</v>
      </c>
      <c r="G3" s="21" t="s">
        <v>175</v>
      </c>
      <c r="H3" s="124" t="s">
        <v>176</v>
      </c>
      <c r="I3" s="179" t="s">
        <v>51</v>
      </c>
      <c r="K3" s="174">
        <v>1</v>
      </c>
      <c r="L3" s="175">
        <v>2003</v>
      </c>
      <c r="Q3" s="350" t="s">
        <v>338</v>
      </c>
      <c r="R3" s="351">
        <v>2003</v>
      </c>
      <c r="S3" s="352">
        <v>2004</v>
      </c>
      <c r="T3" s="351">
        <v>2005</v>
      </c>
      <c r="U3" s="352">
        <v>2006</v>
      </c>
      <c r="V3" s="351">
        <v>2007</v>
      </c>
      <c r="W3" s="352">
        <v>2008</v>
      </c>
      <c r="X3" s="351">
        <v>2009</v>
      </c>
      <c r="Y3" s="353" t="s">
        <v>246</v>
      </c>
    </row>
    <row r="4" spans="1:25" ht="15.75" thickBot="1">
      <c r="A4" s="23" t="s">
        <v>168</v>
      </c>
      <c r="B4" s="24" t="s">
        <v>132</v>
      </c>
      <c r="C4" s="126" t="s">
        <v>170</v>
      </c>
      <c r="D4" s="23" t="s">
        <v>171</v>
      </c>
      <c r="E4" s="24" t="s">
        <v>172</v>
      </c>
      <c r="F4" s="126" t="s">
        <v>174</v>
      </c>
      <c r="G4" s="192">
        <v>22</v>
      </c>
      <c r="H4" s="126" t="s">
        <v>177</v>
      </c>
      <c r="I4" s="182" t="s">
        <v>178</v>
      </c>
      <c r="K4" s="174">
        <v>2</v>
      </c>
      <c r="L4" s="175">
        <v>2004</v>
      </c>
      <c r="Q4" s="354" t="s">
        <v>299</v>
      </c>
      <c r="R4" s="42">
        <f>SUMIF(REALIZADO!$E$5:$E$10,anoPlantio!R3,REALIZADO!$H$5:$H$10)</f>
        <v>0</v>
      </c>
      <c r="S4" s="42">
        <f>SUMIF(REALIZADO!$E$5:$E$10,anoPlantio!S3,REALIZADO!$H$5:$H$10)</f>
        <v>118.61999999999999</v>
      </c>
      <c r="T4" s="42">
        <f>SUMIF(REALIZADO!$E$5:$E$10,anoPlantio!T3,REALIZADO!$H$5:$H$10)</f>
        <v>0</v>
      </c>
      <c r="U4" s="42">
        <f>SUMIF(REALIZADO!$E$5:$E$10,anoPlantio!U3,REALIZADO!$H$5:$H$10)</f>
        <v>0</v>
      </c>
      <c r="V4" s="42">
        <f>SUMIF(REALIZADO!$E$5:$E$10,anoPlantio!V3,REALIZADO!$H$5:$H$10)</f>
        <v>0</v>
      </c>
      <c r="W4" s="42">
        <f>SUMIF(REALIZADO!$E$5:$E$10,anoPlantio!W3,REALIZADO!$H$5:$H$10)</f>
        <v>19.630000000000003</v>
      </c>
      <c r="X4" s="42">
        <f>SUMIF(REALIZADO!$E$5:$E$10,anoPlantio!X3,REALIZADO!$H$5:$H$10)</f>
        <v>0</v>
      </c>
      <c r="Y4" s="43">
        <f>SUM(R4:X4)</f>
        <v>138.25</v>
      </c>
    </row>
    <row r="5" spans="1:25" ht="15.75" thickTop="1">
      <c r="A5" s="153">
        <v>2003</v>
      </c>
      <c r="B5" s="154">
        <f>SUMIF(REALIZADO!$E$5:$E$120,anoPlantio!A5,REALIZADO!$D$5:$D$120)</f>
        <v>17.1</v>
      </c>
      <c r="C5" s="166">
        <v>34.34</v>
      </c>
      <c r="D5" s="138">
        <v>13</v>
      </c>
      <c r="E5" s="154">
        <f>ROUND(B5*C5,2)</f>
        <v>587.21</v>
      </c>
      <c r="F5" s="166">
        <f>ROUND(D5*E5,2)</f>
        <v>7633.73</v>
      </c>
      <c r="G5" s="138">
        <f>G4-D5</f>
        <v>9</v>
      </c>
      <c r="H5" s="166">
        <f>ROUND(E5*G5,2)</f>
        <v>5284.89</v>
      </c>
      <c r="I5" s="181">
        <f>F5+H5</f>
        <v>12918.619999999999</v>
      </c>
      <c r="J5" s="115"/>
      <c r="K5" s="174">
        <v>3</v>
      </c>
      <c r="L5" s="175">
        <v>2005</v>
      </c>
      <c r="Q5" s="354" t="s">
        <v>300</v>
      </c>
      <c r="R5" s="42">
        <f>SUMIF(REALIZADO!$E$16:$E$19,anoPlantio!R3,REALIZADO!$H$16:$H$19)</f>
        <v>0</v>
      </c>
      <c r="S5" s="42">
        <f>SUMIF(REALIZADO!$E$16:$E$19,anoPlantio!S3,REALIZADO!$H$16:$H$19)</f>
        <v>0</v>
      </c>
      <c r="T5" s="42">
        <f>SUMIF(REALIZADO!$E$16:$E$19,anoPlantio!T3,REALIZADO!$H$16:$H$19)</f>
        <v>22.59</v>
      </c>
      <c r="U5" s="42">
        <f>SUMIF(REALIZADO!$E$16:$E$19,anoPlantio!U3,REALIZADO!$H$16:$H$19)</f>
        <v>50.709999999999994</v>
      </c>
      <c r="V5" s="42">
        <f>SUMIF(REALIZADO!$E$16:$E$19,anoPlantio!V3,REALIZADO!$H$16:$H$19)</f>
        <v>0</v>
      </c>
      <c r="W5" s="42">
        <f>SUMIF(REALIZADO!$E$16:$E$19,anoPlantio!W3,REALIZADO!$H$16:$H$19)</f>
        <v>0</v>
      </c>
      <c r="X5" s="42">
        <f>SUMIF(REALIZADO!$E$16:$E$19,anoPlantio!X3,REALIZADO!$H$16:$H$19)</f>
        <v>0</v>
      </c>
      <c r="Y5" s="43">
        <f aca="true" t="shared" si="0" ref="Y5:Y12">SUM(R5:X5)</f>
        <v>73.3</v>
      </c>
    </row>
    <row r="6" spans="1:25" ht="15">
      <c r="A6" s="21">
        <v>2004</v>
      </c>
      <c r="B6" s="117">
        <f>SUMIF(REALIZADO!$E$5:$E$120,anoPlantio!A6,REALIZADO!$D$5:$D$120)</f>
        <v>118.61999999999999</v>
      </c>
      <c r="C6" s="19">
        <v>34.34</v>
      </c>
      <c r="D6" s="123">
        <v>12</v>
      </c>
      <c r="E6" s="117">
        <f aca="true" t="shared" si="1" ref="E6:E11">ROUND(B6*C6,2)</f>
        <v>4073.41</v>
      </c>
      <c r="F6" s="19">
        <f aca="true" t="shared" si="2" ref="F6:F11">ROUND(D6*E6,2)</f>
        <v>48880.92</v>
      </c>
      <c r="G6" s="123">
        <f>G4-D6</f>
        <v>10</v>
      </c>
      <c r="H6" s="19">
        <f aca="true" t="shared" si="3" ref="H6:H11">ROUND(E6*G6,2)</f>
        <v>40734.1</v>
      </c>
      <c r="I6" s="180">
        <f aca="true" t="shared" si="4" ref="I6:I11">F6+H6</f>
        <v>89615.01999999999</v>
      </c>
      <c r="J6" s="177"/>
      <c r="K6" s="174">
        <v>4</v>
      </c>
      <c r="L6" s="175">
        <v>2006</v>
      </c>
      <c r="Q6" s="354" t="s">
        <v>301</v>
      </c>
      <c r="R6" s="42">
        <f>SUMIF(REALIZADO!$E$25:$E$28,anoPlantio!R3,REALIZADO!$H$25:$H$28)</f>
        <v>0</v>
      </c>
      <c r="S6" s="42">
        <f>SUMIF(REALIZADO!$E$25:$E$28,anoPlantio!S3,REALIZADO!$H$25:$H$28)</f>
        <v>0</v>
      </c>
      <c r="T6" s="42">
        <f>SUMIF(REALIZADO!$E$25:$E$28,anoPlantio!T3,REALIZADO!$H$25:$H$28)</f>
        <v>115.25</v>
      </c>
      <c r="U6" s="42">
        <f>SUMIF(REALIZADO!$E$25:$E$28,anoPlantio!U3,REALIZADO!$H$25:$H$28)</f>
        <v>0</v>
      </c>
      <c r="V6" s="42">
        <f>SUMIF(REALIZADO!$E$25:$E$28,anoPlantio!V3,REALIZADO!$H$25:$H$28)</f>
        <v>0</v>
      </c>
      <c r="W6" s="42">
        <f>SUMIF(REALIZADO!$E$25:$E$28,anoPlantio!W3,REALIZADO!$H$25:$H$28)</f>
        <v>0</v>
      </c>
      <c r="X6" s="42">
        <f>SUMIF(REALIZADO!$E$25:$E$28,anoPlantio!X3,REALIZADO!$H$25:$H$28)</f>
        <v>0</v>
      </c>
      <c r="Y6" s="43">
        <f t="shared" si="0"/>
        <v>115.25</v>
      </c>
    </row>
    <row r="7" spans="1:25" ht="15">
      <c r="A7" s="21">
        <v>2005</v>
      </c>
      <c r="B7" s="117">
        <f>SUMIF(REALIZADO!$E$5:$E$120,anoPlantio!A7,REALIZADO!$D$5:$D$120)</f>
        <v>258.78</v>
      </c>
      <c r="C7" s="19">
        <v>34.34</v>
      </c>
      <c r="D7" s="123">
        <v>11</v>
      </c>
      <c r="E7" s="117">
        <f t="shared" si="1"/>
        <v>8886.51</v>
      </c>
      <c r="F7" s="19">
        <f t="shared" si="2"/>
        <v>97751.61</v>
      </c>
      <c r="G7" s="123">
        <f>G4-D7</f>
        <v>11</v>
      </c>
      <c r="H7" s="19">
        <f t="shared" si="3"/>
        <v>97751.61</v>
      </c>
      <c r="I7" s="180">
        <f t="shared" si="4"/>
        <v>195503.22</v>
      </c>
      <c r="J7" s="177"/>
      <c r="K7" s="174">
        <v>5</v>
      </c>
      <c r="L7" s="175">
        <v>2007</v>
      </c>
      <c r="Q7" s="354" t="s">
        <v>302</v>
      </c>
      <c r="R7" s="42">
        <f>SUMIF(REALIZADO!$E$35:$E$40,anoPlantio!R3,REALIZADO!$H$35:$H$40)</f>
        <v>0</v>
      </c>
      <c r="S7" s="42">
        <f>SUMIF(REALIZADO!$E$35:$E$40,anoPlantio!S3,REALIZADO!$H$35:$H$40)</f>
        <v>0</v>
      </c>
      <c r="T7" s="42">
        <f>SUMIF(REALIZADO!$E$35:$E$40,anoPlantio!T3,REALIZADO!$H$35:$H$40)</f>
        <v>0</v>
      </c>
      <c r="U7" s="42">
        <f>SUMIF(REALIZADO!$E$35:$E$40,anoPlantio!U3,REALIZADO!$H$35:$H$40)</f>
        <v>147.05</v>
      </c>
      <c r="V7" s="42">
        <f>SUMIF(REALIZADO!$E$35:$E$40,anoPlantio!V3,REALIZADO!$H$35:$H$40)</f>
        <v>0</v>
      </c>
      <c r="W7" s="42">
        <f>SUMIF(REALIZADO!$E$35:$E$40,anoPlantio!W3,REALIZADO!$H$35:$H$40)</f>
        <v>0</v>
      </c>
      <c r="X7" s="42">
        <f>SUMIF(REALIZADO!$E$35:$E$40,anoPlantio!X3,REALIZADO!$H$35:$H$40)</f>
        <v>0</v>
      </c>
      <c r="Y7" s="43">
        <f t="shared" si="0"/>
        <v>147.05</v>
      </c>
    </row>
    <row r="8" spans="1:25" ht="15.75" thickBot="1">
      <c r="A8" s="21">
        <v>2006</v>
      </c>
      <c r="B8" s="117">
        <f>SUMIF(REALIZADO!$E$5:$E$120,anoPlantio!A8,REALIZADO!$D$5:$D$120)</f>
        <v>572.39</v>
      </c>
      <c r="C8" s="19">
        <v>34.34</v>
      </c>
      <c r="D8" s="123">
        <v>10</v>
      </c>
      <c r="E8" s="117">
        <f t="shared" si="1"/>
        <v>19655.87</v>
      </c>
      <c r="F8" s="19">
        <f t="shared" si="2"/>
        <v>196558.7</v>
      </c>
      <c r="G8" s="123">
        <f>G4-D8</f>
        <v>12</v>
      </c>
      <c r="H8" s="19">
        <f t="shared" si="3"/>
        <v>235870.44</v>
      </c>
      <c r="I8" s="180">
        <f t="shared" si="4"/>
        <v>432429.14</v>
      </c>
      <c r="J8" s="177"/>
      <c r="K8" s="174">
        <v>6</v>
      </c>
      <c r="L8" s="175">
        <v>2008</v>
      </c>
      <c r="Q8" s="354" t="s">
        <v>303</v>
      </c>
      <c r="R8" s="42">
        <f>SUMIF(REALIZADO!$E$47:$E$53,anoPlantio!R3,REALIZADO!$H$47:$H$53)</f>
        <v>0</v>
      </c>
      <c r="S8" s="42">
        <f>SUMIF(REALIZADO!$E$47:$E$53,anoPlantio!S3,REALIZADO!$H$47:$H$53)</f>
        <v>0</v>
      </c>
      <c r="T8" s="42">
        <f>SUMIF(REALIZADO!$E$47:$E$53,anoPlantio!T3,REALIZADO!$H$47:$H$53)</f>
        <v>0</v>
      </c>
      <c r="U8" s="42">
        <f>SUMIF(REALIZADO!$E$47:$E$53,anoPlantio!U3,REALIZADO!$H$47:$H$53)</f>
        <v>169.32999999999998</v>
      </c>
      <c r="V8" s="42">
        <f>SUMIF(REALIZADO!$E$47:$E$53,anoPlantio!V3,REALIZADO!$H$47:$H$53)</f>
        <v>9.51</v>
      </c>
      <c r="W8" s="42">
        <f>SUMIF(REALIZADO!$E$47:$E$53,anoPlantio!W3,REALIZADO!$H$47:$H$53)</f>
        <v>0</v>
      </c>
      <c r="X8" s="42">
        <f>SUMIF(REALIZADO!$E$47:$E$53,anoPlantio!X3,REALIZADO!$H$47:$H$53)</f>
        <v>0</v>
      </c>
      <c r="Y8" s="43">
        <f t="shared" si="0"/>
        <v>178.83999999999997</v>
      </c>
    </row>
    <row r="9" spans="1:25" ht="15.75" thickTop="1">
      <c r="A9" s="21">
        <v>2007</v>
      </c>
      <c r="B9" s="117">
        <f>SUMIF(REALIZADO!$E$5:$E$120,anoPlantio!A9,REALIZADO!$D$5:$D$120)</f>
        <v>98.64999999999999</v>
      </c>
      <c r="C9" s="19">
        <v>34.34</v>
      </c>
      <c r="D9" s="123">
        <v>9</v>
      </c>
      <c r="E9" s="117">
        <f t="shared" si="1"/>
        <v>3387.64</v>
      </c>
      <c r="F9" s="19">
        <f t="shared" si="2"/>
        <v>30488.76</v>
      </c>
      <c r="G9" s="123">
        <f>G4-D9</f>
        <v>13</v>
      </c>
      <c r="H9" s="19">
        <f t="shared" si="3"/>
        <v>44039.32</v>
      </c>
      <c r="I9" s="180">
        <f t="shared" si="4"/>
        <v>74528.08</v>
      </c>
      <c r="J9" s="177"/>
      <c r="K9" s="204">
        <v>7</v>
      </c>
      <c r="L9" s="205">
        <v>2009</v>
      </c>
      <c r="M9" s="209">
        <v>0</v>
      </c>
      <c r="N9" s="145"/>
      <c r="Q9" s="354" t="s">
        <v>304</v>
      </c>
      <c r="R9" s="42">
        <f>SUMIF(REALIZADO!$E$60:$E$64,anoPlantio!R3,REALIZADO!$H$60:$H$64)</f>
        <v>0</v>
      </c>
      <c r="S9" s="42">
        <f>SUMIF(REALIZADO!$E$60:$E$64,anoPlantio!S3,REALIZADO!$H$60:$H$64)</f>
        <v>0</v>
      </c>
      <c r="T9" s="42">
        <f>SUMIF(REALIZADO!$E$60:$E$64,anoPlantio!T3,REALIZADO!$H$60:$H$64)</f>
        <v>120.94</v>
      </c>
      <c r="U9" s="42">
        <f>SUMIF(REALIZADO!$E$60:$E$64,anoPlantio!U3,REALIZADO!$H$60:$H$64)</f>
        <v>0</v>
      </c>
      <c r="V9" s="42">
        <f>SUMIF(REALIZADO!$E$60:$E$64,anoPlantio!V3,REALIZADO!$H$60:$H$64)</f>
        <v>0</v>
      </c>
      <c r="W9" s="42">
        <f>SUMIF(REALIZADO!$E$60:$E$64,anoPlantio!W3,REALIZADO!$H$60:$H$64)</f>
        <v>0</v>
      </c>
      <c r="X9" s="42">
        <f>SUMIF(REALIZADO!$E$60:$E$64,anoPlantio!X3,REALIZADO!$H$60:$H$64)</f>
        <v>0</v>
      </c>
      <c r="Y9" s="43">
        <f t="shared" si="0"/>
        <v>120.94</v>
      </c>
    </row>
    <row r="10" spans="1:25" ht="15">
      <c r="A10" s="21">
        <v>2008</v>
      </c>
      <c r="B10" s="117">
        <f>SUMIF(REALIZADO!$E$5:$E$120,anoPlantio!A10,REALIZADO!$D$5:$D$120)</f>
        <v>19.630000000000003</v>
      </c>
      <c r="C10" s="19">
        <v>34.34</v>
      </c>
      <c r="D10" s="123">
        <v>8</v>
      </c>
      <c r="E10" s="117">
        <f t="shared" si="1"/>
        <v>674.09</v>
      </c>
      <c r="F10" s="19">
        <f t="shared" si="2"/>
        <v>5392.72</v>
      </c>
      <c r="G10" s="123">
        <f>G4-D10</f>
        <v>14</v>
      </c>
      <c r="H10" s="19">
        <f t="shared" si="3"/>
        <v>9437.26</v>
      </c>
      <c r="I10" s="180">
        <f t="shared" si="4"/>
        <v>14829.98</v>
      </c>
      <c r="J10" s="177"/>
      <c r="K10" s="174">
        <v>8</v>
      </c>
      <c r="L10" s="207">
        <v>2010</v>
      </c>
      <c r="M10" s="21">
        <v>1</v>
      </c>
      <c r="N10" s="124"/>
      <c r="Q10" s="354" t="s">
        <v>305</v>
      </c>
      <c r="R10" s="42">
        <f>SUMIF(REALIZADO!$E$71:$E$74,anoPlantio!R3,REALIZADO!$H$71:$H$74)</f>
        <v>17.1</v>
      </c>
      <c r="S10" s="42">
        <f>SUMIF(REALIZADO!$E$71:$E$74,anoPlantio!S3,REALIZADO!$H$71:$H$74)</f>
        <v>0</v>
      </c>
      <c r="T10" s="42">
        <f>SUMIF(REALIZADO!$E$71:$E$74,anoPlantio!T3,REALIZADO!$H$71:$H$74)</f>
        <v>0</v>
      </c>
      <c r="U10" s="42">
        <f>SUMIF(REALIZADO!$E$71:$E$74,anoPlantio!U3,REALIZADO!$H$71:$H$74)</f>
        <v>67.48</v>
      </c>
      <c r="V10" s="42">
        <f>SUMIF(REALIZADO!$E$71:$E$74,anoPlantio!V3,REALIZADO!$H$71:$H$74)</f>
        <v>0</v>
      </c>
      <c r="W10" s="42">
        <f>SUMIF(REALIZADO!$E$71:$E$74,anoPlantio!W3,REALIZADO!$H$71:$H$74)</f>
        <v>0</v>
      </c>
      <c r="X10" s="42">
        <f>SUMIF(REALIZADO!$E$71:$E$74,anoPlantio!X3,REALIZADO!$H$71:$H$74)</f>
        <v>0</v>
      </c>
      <c r="Y10" s="43">
        <f t="shared" si="0"/>
        <v>84.58000000000001</v>
      </c>
    </row>
    <row r="11" spans="1:25" ht="15.75" thickBot="1">
      <c r="A11" s="183">
        <v>2009</v>
      </c>
      <c r="B11" s="184">
        <f>SUMIF(REALIZADO!$E$5:$E$120,anoPlantio!A11,REALIZADO!$D$5:$D$120)</f>
        <v>0</v>
      </c>
      <c r="C11" s="185">
        <v>34.34</v>
      </c>
      <c r="D11" s="168">
        <v>7</v>
      </c>
      <c r="E11" s="184">
        <f t="shared" si="1"/>
        <v>0</v>
      </c>
      <c r="F11" s="185">
        <f t="shared" si="2"/>
        <v>0</v>
      </c>
      <c r="G11" s="168">
        <f>G4-D11</f>
        <v>15</v>
      </c>
      <c r="H11" s="185">
        <f t="shared" si="3"/>
        <v>0</v>
      </c>
      <c r="I11" s="186">
        <f t="shared" si="4"/>
        <v>0</v>
      </c>
      <c r="J11" s="177"/>
      <c r="K11" s="174">
        <v>9</v>
      </c>
      <c r="L11" s="207">
        <v>2011</v>
      </c>
      <c r="M11" s="21">
        <v>2</v>
      </c>
      <c r="N11" s="124"/>
      <c r="Q11" s="354" t="s">
        <v>306</v>
      </c>
      <c r="R11" s="42">
        <f>SUMIF(REALIZADO!$E$80:$E$86,anoPlantio!R3,REALIZADO!$H$80:$H$86)</f>
        <v>0</v>
      </c>
      <c r="S11" s="42">
        <f>SUMIF(REALIZADO!$E$80:$E$86,anoPlantio!S3,REALIZADO!$H$80:$H$86)</f>
        <v>0</v>
      </c>
      <c r="T11" s="42">
        <f>SUMIF(REALIZADO!$E$80:$E$86,anoPlantio!T3,REALIZADO!$H$80:$H$86)</f>
        <v>0</v>
      </c>
      <c r="U11" s="42">
        <f>SUMIF(REALIZADO!$E$80:$E$86,anoPlantio!U3,REALIZADO!$H$80:$H$86)</f>
        <v>45.94</v>
      </c>
      <c r="V11" s="42">
        <f>SUMIF(REALIZADO!$E$80:$E$86,anoPlantio!V3,REALIZADO!$H$80:$H$86)</f>
        <v>89.14</v>
      </c>
      <c r="W11" s="42">
        <f>SUMIF(REALIZADO!$E$80:$E$86,anoPlantio!W3,REALIZADO!$H$80:$H$86)</f>
        <v>0</v>
      </c>
      <c r="X11" s="42">
        <f>SUMIF(REALIZADO!$E$80:$E$86,anoPlantio!X3,REALIZADO!$H$80:$H$86)</f>
        <v>0</v>
      </c>
      <c r="Y11" s="43">
        <f t="shared" si="0"/>
        <v>135.07999999999998</v>
      </c>
    </row>
    <row r="12" spans="1:25" ht="16.5" thickBot="1" thickTop="1">
      <c r="A12" s="187"/>
      <c r="B12" s="159">
        <f>SUM(B5:B11)</f>
        <v>1085.17</v>
      </c>
      <c r="C12" s="103">
        <f>C11</f>
        <v>34.34</v>
      </c>
      <c r="D12" s="188">
        <v>22</v>
      </c>
      <c r="E12" s="159">
        <f>ROUND(B12*C12,2)</f>
        <v>37264.74</v>
      </c>
      <c r="F12" s="103">
        <f>SUM(F5:F11)</f>
        <v>386706.44</v>
      </c>
      <c r="G12" s="187"/>
      <c r="H12" s="103">
        <f>SUM(H5:H11)</f>
        <v>433117.62000000005</v>
      </c>
      <c r="I12" s="189">
        <f>SUM(I5:I11)</f>
        <v>819824.0599999999</v>
      </c>
      <c r="J12" s="177"/>
      <c r="K12" s="174">
        <v>10</v>
      </c>
      <c r="L12" s="207">
        <v>2012</v>
      </c>
      <c r="M12" s="21">
        <v>3</v>
      </c>
      <c r="N12" s="124"/>
      <c r="Q12" s="354" t="s">
        <v>307</v>
      </c>
      <c r="R12" s="42">
        <f>SUMIF(REALIZADO!$E$115:$E$119,anoPlantio!R3,REALIZADO!$H$115:$H$119)</f>
        <v>0</v>
      </c>
      <c r="S12" s="42">
        <f>SUMIF(REALIZADO!$E$115:$E$119,anoPlantio!S3,REALIZADO!$H$115:$H$119)</f>
        <v>0</v>
      </c>
      <c r="T12" s="42">
        <f>SUMIF(REALIZADO!$E$115:$E$119,anoPlantio!T3,REALIZADO!$H$115:$H$119)</f>
        <v>0</v>
      </c>
      <c r="U12" s="42">
        <f>SUMIF(REALIZADO!$E$115:$E$119,anoPlantio!U3,REALIZADO!$H$115:$H$119)</f>
        <v>91.88</v>
      </c>
      <c r="V12" s="42">
        <f>SUMIF(REALIZADO!$E$115:$E$119,anoPlantio!V3,REALIZADO!$H$115:$H$119)</f>
        <v>0</v>
      </c>
      <c r="W12" s="42">
        <f>SUMIF(REALIZADO!$E$115:$E$119,anoPlantio!W3,REALIZADO!$H$115:$H$119)</f>
        <v>0</v>
      </c>
      <c r="X12" s="42">
        <f>SUMIF(REALIZADO!$E$115:$E$119,anoPlantio!X3,REALIZADO!$H$115:$H$119)</f>
        <v>0</v>
      </c>
      <c r="Y12" s="43">
        <f t="shared" si="0"/>
        <v>91.88</v>
      </c>
    </row>
    <row r="13" spans="2:25" ht="16.5" thickBot="1" thickTop="1">
      <c r="B13" s="115"/>
      <c r="C13" s="115"/>
      <c r="D13" s="115"/>
      <c r="E13" s="115"/>
      <c r="F13" s="115"/>
      <c r="H13" s="115"/>
      <c r="I13" s="177">
        <f>ROUND(E12*D12,2)-I12</f>
        <v>0.22000000008847564</v>
      </c>
      <c r="J13" s="177"/>
      <c r="K13" s="174">
        <v>11</v>
      </c>
      <c r="L13" s="207">
        <v>2013</v>
      </c>
      <c r="M13" s="21">
        <v>4</v>
      </c>
      <c r="N13" s="124"/>
      <c r="Q13" s="355" t="s">
        <v>153</v>
      </c>
      <c r="R13" s="356">
        <f>SUM(R4:R12)</f>
        <v>17.1</v>
      </c>
      <c r="S13" s="356">
        <f aca="true" t="shared" si="5" ref="S13:Y13">SUM(S4:S12)</f>
        <v>118.61999999999999</v>
      </c>
      <c r="T13" s="356">
        <f t="shared" si="5"/>
        <v>258.78</v>
      </c>
      <c r="U13" s="356">
        <f t="shared" si="5"/>
        <v>572.39</v>
      </c>
      <c r="V13" s="356">
        <f t="shared" si="5"/>
        <v>98.65</v>
      </c>
      <c r="W13" s="356">
        <f t="shared" si="5"/>
        <v>19.630000000000003</v>
      </c>
      <c r="X13" s="356">
        <f t="shared" si="5"/>
        <v>0</v>
      </c>
      <c r="Y13" s="357">
        <f t="shared" si="5"/>
        <v>1085.17</v>
      </c>
    </row>
    <row r="14" spans="2:25" ht="15.75" thickTop="1">
      <c r="B14" s="115"/>
      <c r="C14" s="115"/>
      <c r="D14" s="115"/>
      <c r="E14" s="115"/>
      <c r="F14" s="115"/>
      <c r="I14" s="177"/>
      <c r="J14" s="177"/>
      <c r="K14" s="174">
        <v>12</v>
      </c>
      <c r="L14" s="207">
        <v>2014</v>
      </c>
      <c r="M14" s="21">
        <v>5</v>
      </c>
      <c r="N14" s="124"/>
      <c r="R14" s="115"/>
      <c r="S14" s="115"/>
      <c r="T14" s="115"/>
      <c r="U14" s="115"/>
      <c r="V14" s="260" t="s">
        <v>132</v>
      </c>
      <c r="W14" s="113"/>
      <c r="X14" s="113"/>
      <c r="Y14" s="114"/>
    </row>
    <row r="15" spans="3:25" ht="15.75" thickBot="1">
      <c r="C15" s="115"/>
      <c r="D15" s="115"/>
      <c r="E15" s="115"/>
      <c r="F15" s="115"/>
      <c r="I15" s="177"/>
      <c r="J15" s="177"/>
      <c r="K15" s="176">
        <v>13</v>
      </c>
      <c r="L15" s="208">
        <v>2015</v>
      </c>
      <c r="M15" s="21">
        <v>6</v>
      </c>
      <c r="N15" s="124"/>
      <c r="R15" s="115"/>
      <c r="S15" s="115"/>
      <c r="T15" s="115"/>
      <c r="U15" s="115"/>
      <c r="V15" s="125" t="s">
        <v>265</v>
      </c>
      <c r="W15" s="119"/>
      <c r="X15" s="119"/>
      <c r="Y15" s="25">
        <v>100</v>
      </c>
    </row>
    <row r="16" spans="3:14" ht="16.5" thickBot="1" thickTop="1">
      <c r="C16" s="115"/>
      <c r="D16" s="115"/>
      <c r="E16" s="115"/>
      <c r="F16" s="115"/>
      <c r="I16" s="177"/>
      <c r="J16" s="177"/>
      <c r="K16" s="177"/>
      <c r="L16" s="177"/>
      <c r="M16" s="21">
        <v>7</v>
      </c>
      <c r="N16" s="124">
        <v>2016</v>
      </c>
    </row>
    <row r="17" spans="1:25" ht="16.5" thickBot="1" thickTop="1">
      <c r="A17" t="s">
        <v>180</v>
      </c>
      <c r="D17" s="13" t="s">
        <v>86</v>
      </c>
      <c r="E17" s="14"/>
      <c r="F17" s="145"/>
      <c r="G17" s="13" t="s">
        <v>87</v>
      </c>
      <c r="H17" s="145"/>
      <c r="I17" s="178"/>
      <c r="J17" s="177"/>
      <c r="K17" s="177"/>
      <c r="L17" s="177"/>
      <c r="M17" s="21">
        <v>8</v>
      </c>
      <c r="N17" s="124">
        <v>2017</v>
      </c>
      <c r="R17" s="115">
        <f>B5-R13</f>
        <v>0</v>
      </c>
      <c r="S17" s="115">
        <f>B6-S13</f>
        <v>0</v>
      </c>
      <c r="T17" s="115">
        <f>B7-T13</f>
        <v>0</v>
      </c>
      <c r="U17" s="115">
        <f>B8-U13</f>
        <v>0</v>
      </c>
      <c r="V17" s="115">
        <f>B9-V13</f>
        <v>0</v>
      </c>
      <c r="W17" s="115">
        <f>B10-W13</f>
        <v>0</v>
      </c>
      <c r="X17" s="115">
        <f>B11-X13</f>
        <v>0</v>
      </c>
      <c r="Y17" s="115">
        <f>Y13-B12</f>
        <v>0</v>
      </c>
    </row>
    <row r="18" spans="1:14" ht="15.75" thickTop="1">
      <c r="A18" s="13"/>
      <c r="B18" s="14"/>
      <c r="C18" s="145"/>
      <c r="D18" s="21">
        <v>2015</v>
      </c>
      <c r="E18" s="18"/>
      <c r="F18" s="124" t="s">
        <v>188</v>
      </c>
      <c r="G18" s="21" t="s">
        <v>175</v>
      </c>
      <c r="H18" s="124" t="s">
        <v>187</v>
      </c>
      <c r="I18" s="179" t="s">
        <v>51</v>
      </c>
      <c r="M18" s="21">
        <v>9</v>
      </c>
      <c r="N18" s="124">
        <v>2018</v>
      </c>
    </row>
    <row r="19" spans="1:14" ht="15.75" thickBot="1">
      <c r="A19" s="23" t="s">
        <v>168</v>
      </c>
      <c r="B19" s="24" t="s">
        <v>132</v>
      </c>
      <c r="C19" s="126" t="s">
        <v>185</v>
      </c>
      <c r="D19" s="23" t="s">
        <v>171</v>
      </c>
      <c r="E19" s="24" t="s">
        <v>186</v>
      </c>
      <c r="F19" s="126" t="s">
        <v>174</v>
      </c>
      <c r="G19" s="192">
        <v>22</v>
      </c>
      <c r="H19" s="126" t="s">
        <v>177</v>
      </c>
      <c r="I19" s="182" t="s">
        <v>178</v>
      </c>
      <c r="M19" s="21">
        <v>10</v>
      </c>
      <c r="N19" s="124">
        <v>2019</v>
      </c>
    </row>
    <row r="20" spans="1:14" ht="15.75" thickTop="1">
      <c r="A20" s="153">
        <v>2003</v>
      </c>
      <c r="B20" s="154">
        <f>SUMIF(REALIZADO!$E$5:$E$120,anoPlantio!A20,REALIZADO!$D$5:$D$120)</f>
        <v>17.1</v>
      </c>
      <c r="C20" s="166">
        <v>20.55</v>
      </c>
      <c r="D20" s="138">
        <v>13</v>
      </c>
      <c r="E20" s="154">
        <f>ROUND(B20*C20,2)</f>
        <v>351.41</v>
      </c>
      <c r="F20" s="166">
        <f>ROUND(D20*E20,2)</f>
        <v>4568.33</v>
      </c>
      <c r="G20" s="138">
        <f>G19-D20</f>
        <v>9</v>
      </c>
      <c r="H20" s="166">
        <f>ROUND(E20*G20,2)</f>
        <v>3162.69</v>
      </c>
      <c r="I20" s="181">
        <f>F20+H20</f>
        <v>7731.02</v>
      </c>
      <c r="M20" s="21">
        <v>11</v>
      </c>
      <c r="N20" s="124">
        <v>2020</v>
      </c>
    </row>
    <row r="21" spans="1:14" ht="15">
      <c r="A21" s="21">
        <v>2004</v>
      </c>
      <c r="B21" s="117">
        <f>SUMIF(REALIZADO!$E$5:$E$120,anoPlantio!A21,REALIZADO!$D$5:$D$120)</f>
        <v>118.61999999999999</v>
      </c>
      <c r="C21" s="19">
        <v>20.55</v>
      </c>
      <c r="D21" s="123">
        <v>12</v>
      </c>
      <c r="E21" s="117">
        <f aca="true" t="shared" si="6" ref="E21:E26">ROUND(B21*C21,2)</f>
        <v>2437.64</v>
      </c>
      <c r="F21" s="19">
        <f aca="true" t="shared" si="7" ref="F21:F26">ROUND(D21*E21,2)</f>
        <v>29251.68</v>
      </c>
      <c r="G21" s="123">
        <f>G19-D21</f>
        <v>10</v>
      </c>
      <c r="H21" s="19">
        <f aca="true" t="shared" si="8" ref="H21:H26">ROUND(E21*G21,2)</f>
        <v>24376.4</v>
      </c>
      <c r="I21" s="180">
        <f aca="true" t="shared" si="9" ref="I21:I26">F21+H21</f>
        <v>53628.08</v>
      </c>
      <c r="M21" s="21">
        <v>12</v>
      </c>
      <c r="N21" s="124">
        <v>2021</v>
      </c>
    </row>
    <row r="22" spans="1:14" ht="15">
      <c r="A22" s="21">
        <v>2005</v>
      </c>
      <c r="B22" s="117">
        <f>SUMIF(REALIZADO!$E$5:$E$120,anoPlantio!A22,REALIZADO!$D$5:$D$120)</f>
        <v>258.78</v>
      </c>
      <c r="C22" s="19">
        <v>20.55</v>
      </c>
      <c r="D22" s="123">
        <v>11</v>
      </c>
      <c r="E22" s="117">
        <f t="shared" si="6"/>
        <v>5317.93</v>
      </c>
      <c r="F22" s="19">
        <f t="shared" si="7"/>
        <v>58497.23</v>
      </c>
      <c r="G22" s="123">
        <f>G19-D22</f>
        <v>11</v>
      </c>
      <c r="H22" s="19">
        <f t="shared" si="8"/>
        <v>58497.23</v>
      </c>
      <c r="I22" s="180">
        <f t="shared" si="9"/>
        <v>116994.46</v>
      </c>
      <c r="M22" s="21">
        <v>13</v>
      </c>
      <c r="N22" s="124">
        <v>2022</v>
      </c>
    </row>
    <row r="23" spans="1:14" ht="15">
      <c r="A23" s="21">
        <v>2006</v>
      </c>
      <c r="B23" s="117">
        <f>SUMIF(REALIZADO!$E$5:$E$120,anoPlantio!A23,REALIZADO!$D$5:$D$120)</f>
        <v>572.39</v>
      </c>
      <c r="C23" s="19">
        <v>20.55</v>
      </c>
      <c r="D23" s="123">
        <v>10</v>
      </c>
      <c r="E23" s="117">
        <f t="shared" si="6"/>
        <v>11762.61</v>
      </c>
      <c r="F23" s="19">
        <f t="shared" si="7"/>
        <v>117626.1</v>
      </c>
      <c r="G23" s="123">
        <f>G19-D23</f>
        <v>12</v>
      </c>
      <c r="H23" s="19">
        <f t="shared" si="8"/>
        <v>141151.32</v>
      </c>
      <c r="I23" s="180">
        <f t="shared" si="9"/>
        <v>258777.42</v>
      </c>
      <c r="M23" s="21">
        <v>14</v>
      </c>
      <c r="N23" s="124">
        <v>2023</v>
      </c>
    </row>
    <row r="24" spans="1:14" ht="15">
      <c r="A24" s="21">
        <v>2007</v>
      </c>
      <c r="B24" s="117">
        <f>SUMIF(REALIZADO!$E$5:$E$120,anoPlantio!A24,REALIZADO!$D$5:$D$120)</f>
        <v>98.64999999999999</v>
      </c>
      <c r="C24" s="19">
        <v>20.55</v>
      </c>
      <c r="D24" s="123">
        <v>9</v>
      </c>
      <c r="E24" s="117">
        <f t="shared" si="6"/>
        <v>2027.26</v>
      </c>
      <c r="F24" s="19">
        <f t="shared" si="7"/>
        <v>18245.34</v>
      </c>
      <c r="G24" s="123">
        <f>G19-D24</f>
        <v>13</v>
      </c>
      <c r="H24" s="19">
        <f t="shared" si="8"/>
        <v>26354.38</v>
      </c>
      <c r="I24" s="180">
        <f t="shared" si="9"/>
        <v>44599.72</v>
      </c>
      <c r="M24" s="21">
        <v>15</v>
      </c>
      <c r="N24" s="124">
        <v>2024</v>
      </c>
    </row>
    <row r="25" spans="1:14" ht="15">
      <c r="A25" s="21">
        <v>2008</v>
      </c>
      <c r="B25" s="117">
        <f>SUMIF(REALIZADO!$E$5:$E$120,anoPlantio!A25,REALIZADO!$D$5:$D$120)</f>
        <v>19.630000000000003</v>
      </c>
      <c r="C25" s="19">
        <v>20.55</v>
      </c>
      <c r="D25" s="123">
        <v>8</v>
      </c>
      <c r="E25" s="117">
        <f t="shared" si="6"/>
        <v>403.4</v>
      </c>
      <c r="F25" s="19">
        <f t="shared" si="7"/>
        <v>3227.2</v>
      </c>
      <c r="G25" s="123">
        <f>G19-D25</f>
        <v>14</v>
      </c>
      <c r="H25" s="19">
        <f t="shared" si="8"/>
        <v>5647.6</v>
      </c>
      <c r="I25" s="180">
        <f t="shared" si="9"/>
        <v>8874.8</v>
      </c>
      <c r="M25" s="21">
        <v>16</v>
      </c>
      <c r="N25" s="124">
        <v>2025</v>
      </c>
    </row>
    <row r="26" spans="1:14" ht="15.75" thickBot="1">
      <c r="A26" s="183">
        <v>2009</v>
      </c>
      <c r="B26" s="184">
        <f>SUMIF(REALIZADO!$E$5:$E$120,anoPlantio!A26,REALIZADO!$D$5:$D$120)</f>
        <v>0</v>
      </c>
      <c r="C26" s="19">
        <v>20.55</v>
      </c>
      <c r="D26" s="168">
        <v>7</v>
      </c>
      <c r="E26" s="184">
        <f t="shared" si="6"/>
        <v>0</v>
      </c>
      <c r="F26" s="185">
        <f t="shared" si="7"/>
        <v>0</v>
      </c>
      <c r="G26" s="168">
        <f>G19-D26</f>
        <v>15</v>
      </c>
      <c r="H26" s="185">
        <f t="shared" si="8"/>
        <v>0</v>
      </c>
      <c r="I26" s="186">
        <f t="shared" si="9"/>
        <v>0</v>
      </c>
      <c r="M26" s="21">
        <v>17</v>
      </c>
      <c r="N26" s="124">
        <v>2026</v>
      </c>
    </row>
    <row r="27" spans="1:14" ht="16.5" thickBot="1" thickTop="1">
      <c r="A27" s="187"/>
      <c r="B27" s="159">
        <f>SUM(B20:B26)</f>
        <v>1085.17</v>
      </c>
      <c r="C27" s="103">
        <f>C26</f>
        <v>20.55</v>
      </c>
      <c r="D27" s="188">
        <v>22</v>
      </c>
      <c r="E27" s="159">
        <f>ROUND(B27*C27,2)</f>
        <v>22300.24</v>
      </c>
      <c r="F27" s="103">
        <f>SUM(F20:F26)</f>
        <v>231415.88000000003</v>
      </c>
      <c r="G27" s="187"/>
      <c r="H27" s="103">
        <f>SUM(H20:H26)</f>
        <v>259189.62000000002</v>
      </c>
      <c r="I27" s="189">
        <f>SUM(I20:I26)</f>
        <v>490605.49999999994</v>
      </c>
      <c r="M27" s="21">
        <v>18</v>
      </c>
      <c r="N27" s="124">
        <v>2027</v>
      </c>
    </row>
    <row r="28" spans="2:14" ht="15.75" thickTop="1">
      <c r="B28" s="115"/>
      <c r="C28" s="115"/>
      <c r="D28" s="115"/>
      <c r="E28" s="115"/>
      <c r="F28" s="115"/>
      <c r="H28" s="115"/>
      <c r="I28" s="177">
        <f>ROUND(E27*D27,2)-I27</f>
        <v>-0.21999999991385266</v>
      </c>
      <c r="M28" s="21">
        <v>19</v>
      </c>
      <c r="N28" s="124">
        <v>2028</v>
      </c>
    </row>
    <row r="29" spans="13:14" ht="15.75" thickBot="1">
      <c r="M29" s="21">
        <v>20</v>
      </c>
      <c r="N29" s="124">
        <v>2029</v>
      </c>
    </row>
    <row r="30" spans="1:14" ht="16.5" thickBot="1" thickTop="1">
      <c r="A30" t="s">
        <v>326</v>
      </c>
      <c r="D30" s="13" t="s">
        <v>86</v>
      </c>
      <c r="E30" s="14"/>
      <c r="F30" s="145"/>
      <c r="G30" s="13" t="s">
        <v>87</v>
      </c>
      <c r="H30" s="145"/>
      <c r="I30" s="178"/>
      <c r="M30" s="21">
        <v>21</v>
      </c>
      <c r="N30" s="124">
        <v>2030</v>
      </c>
    </row>
    <row r="31" spans="1:14" ht="16.5" thickBot="1" thickTop="1">
      <c r="A31" s="13"/>
      <c r="B31" s="14"/>
      <c r="C31" s="145"/>
      <c r="D31" s="21">
        <v>2015</v>
      </c>
      <c r="E31" s="18"/>
      <c r="F31" s="124" t="s">
        <v>327</v>
      </c>
      <c r="G31" s="21" t="s">
        <v>175</v>
      </c>
      <c r="H31" s="124" t="s">
        <v>327</v>
      </c>
      <c r="I31" s="179" t="s">
        <v>51</v>
      </c>
      <c r="M31" s="23">
        <v>22</v>
      </c>
      <c r="N31" s="126">
        <v>2031</v>
      </c>
    </row>
    <row r="32" spans="1:9" ht="16.5" thickBot="1" thickTop="1">
      <c r="A32" s="23" t="s">
        <v>168</v>
      </c>
      <c r="B32" s="24" t="s">
        <v>132</v>
      </c>
      <c r="C32" s="126" t="s">
        <v>185</v>
      </c>
      <c r="D32" s="23" t="s">
        <v>171</v>
      </c>
      <c r="E32" s="24" t="s">
        <v>328</v>
      </c>
      <c r="F32" s="126" t="s">
        <v>174</v>
      </c>
      <c r="G32" s="192">
        <v>22</v>
      </c>
      <c r="H32" s="126" t="s">
        <v>177</v>
      </c>
      <c r="I32" s="182" t="s">
        <v>178</v>
      </c>
    </row>
    <row r="33" spans="1:9" ht="15.75" thickTop="1">
      <c r="A33" s="153">
        <v>2003</v>
      </c>
      <c r="B33" s="154">
        <f>SUMIF(REALIZADO!$E$5:$E$120,anoPlantio!A33,REALIZADO!$D$5:$D$120)</f>
        <v>17.1</v>
      </c>
      <c r="C33" s="166">
        <v>41.29</v>
      </c>
      <c r="D33" s="138">
        <v>13</v>
      </c>
      <c r="E33" s="154">
        <f>ROUND(B33*C33,2)</f>
        <v>706.06</v>
      </c>
      <c r="F33" s="166">
        <f>ROUND(D33*E33,2)</f>
        <v>9178.78</v>
      </c>
      <c r="G33" s="138">
        <f>G32-D33</f>
        <v>9</v>
      </c>
      <c r="H33" s="166">
        <f>ROUND(E33*G33,2)</f>
        <v>6354.54</v>
      </c>
      <c r="I33" s="181">
        <f>F33+H33</f>
        <v>15533.32</v>
      </c>
    </row>
    <row r="34" spans="1:9" ht="15">
      <c r="A34" s="21">
        <v>2004</v>
      </c>
      <c r="B34" s="117">
        <f>SUMIF(REALIZADO!$E$5:$E$120,anoPlantio!A34,REALIZADO!$D$5:$D$120)</f>
        <v>118.61999999999999</v>
      </c>
      <c r="C34" s="19">
        <v>41.29</v>
      </c>
      <c r="D34" s="123">
        <v>12</v>
      </c>
      <c r="E34" s="117">
        <f aca="true" t="shared" si="10" ref="E34:E39">ROUND(B34*C34,2)</f>
        <v>4897.82</v>
      </c>
      <c r="F34" s="19">
        <f aca="true" t="shared" si="11" ref="F34:F39">ROUND(D34*E34,2)</f>
        <v>58773.84</v>
      </c>
      <c r="G34" s="123">
        <f>G32-D34</f>
        <v>10</v>
      </c>
      <c r="H34" s="19">
        <f aca="true" t="shared" si="12" ref="H34:H39">ROUND(E34*G34,2)</f>
        <v>48978.2</v>
      </c>
      <c r="I34" s="180">
        <f aca="true" t="shared" si="13" ref="I34:I39">F34+H34</f>
        <v>107752.04</v>
      </c>
    </row>
    <row r="35" spans="1:9" ht="15">
      <c r="A35" s="21">
        <v>2005</v>
      </c>
      <c r="B35" s="117">
        <f>SUMIF(REALIZADO!$E$5:$E$120,anoPlantio!A35,REALIZADO!$D$5:$D$120)</f>
        <v>258.78</v>
      </c>
      <c r="C35" s="19">
        <v>41.29</v>
      </c>
      <c r="D35" s="123">
        <v>11</v>
      </c>
      <c r="E35" s="117">
        <f t="shared" si="10"/>
        <v>10685.03</v>
      </c>
      <c r="F35" s="19">
        <f t="shared" si="11"/>
        <v>117535.33</v>
      </c>
      <c r="G35" s="123">
        <f>G32-D35</f>
        <v>11</v>
      </c>
      <c r="H35" s="19">
        <f t="shared" si="12"/>
        <v>117535.33</v>
      </c>
      <c r="I35" s="180">
        <f t="shared" si="13"/>
        <v>235070.66</v>
      </c>
    </row>
    <row r="36" spans="1:9" ht="15">
      <c r="A36" s="21">
        <v>2006</v>
      </c>
      <c r="B36" s="117">
        <f>SUMIF(REALIZADO!$E$5:$E$120,anoPlantio!A36,REALIZADO!$D$5:$D$120)</f>
        <v>572.39</v>
      </c>
      <c r="C36" s="19">
        <v>41.29</v>
      </c>
      <c r="D36" s="123">
        <v>10</v>
      </c>
      <c r="E36" s="117">
        <f t="shared" si="10"/>
        <v>23633.98</v>
      </c>
      <c r="F36" s="19">
        <f t="shared" si="11"/>
        <v>236339.8</v>
      </c>
      <c r="G36" s="123">
        <f>G32-D36</f>
        <v>12</v>
      </c>
      <c r="H36" s="19">
        <f t="shared" si="12"/>
        <v>283607.76</v>
      </c>
      <c r="I36" s="180">
        <f t="shared" si="13"/>
        <v>519947.56</v>
      </c>
    </row>
    <row r="37" spans="1:9" ht="15">
      <c r="A37" s="21">
        <v>2007</v>
      </c>
      <c r="B37" s="117">
        <f>SUMIF(REALIZADO!$E$5:$E$120,anoPlantio!A37,REALIZADO!$D$5:$D$120)</f>
        <v>98.64999999999999</v>
      </c>
      <c r="C37" s="19">
        <v>41.29</v>
      </c>
      <c r="D37" s="123">
        <v>9</v>
      </c>
      <c r="E37" s="117">
        <f t="shared" si="10"/>
        <v>4073.26</v>
      </c>
      <c r="F37" s="19">
        <f t="shared" si="11"/>
        <v>36659.34</v>
      </c>
      <c r="G37" s="123">
        <f>G32-D37</f>
        <v>13</v>
      </c>
      <c r="H37" s="19">
        <f t="shared" si="12"/>
        <v>52952.38</v>
      </c>
      <c r="I37" s="180">
        <f t="shared" si="13"/>
        <v>89611.72</v>
      </c>
    </row>
    <row r="38" spans="1:9" ht="15">
      <c r="A38" s="21">
        <v>2008</v>
      </c>
      <c r="B38" s="117">
        <f>SUMIF(REALIZADO!$E$5:$E$120,anoPlantio!A38,REALIZADO!$D$5:$D$120)</f>
        <v>19.630000000000003</v>
      </c>
      <c r="C38" s="19">
        <v>41.29</v>
      </c>
      <c r="D38" s="123">
        <v>8</v>
      </c>
      <c r="E38" s="117">
        <f t="shared" si="10"/>
        <v>810.52</v>
      </c>
      <c r="F38" s="19">
        <f t="shared" si="11"/>
        <v>6484.16</v>
      </c>
      <c r="G38" s="123">
        <f>G32-D38</f>
        <v>14</v>
      </c>
      <c r="H38" s="19">
        <f t="shared" si="12"/>
        <v>11347.28</v>
      </c>
      <c r="I38" s="180">
        <f t="shared" si="13"/>
        <v>17831.440000000002</v>
      </c>
    </row>
    <row r="39" spans="1:9" ht="15.75" thickBot="1">
      <c r="A39" s="183">
        <v>2009</v>
      </c>
      <c r="B39" s="184">
        <f>SUMIF(REALIZADO!$E$5:$E$120,anoPlantio!A39,REALIZADO!$D$5:$D$120)</f>
        <v>0</v>
      </c>
      <c r="C39" s="19">
        <v>41.29</v>
      </c>
      <c r="D39" s="168">
        <v>7</v>
      </c>
      <c r="E39" s="184">
        <f t="shared" si="10"/>
        <v>0</v>
      </c>
      <c r="F39" s="185">
        <f t="shared" si="11"/>
        <v>0</v>
      </c>
      <c r="G39" s="168">
        <f>G32-D39</f>
        <v>15</v>
      </c>
      <c r="H39" s="185">
        <f t="shared" si="12"/>
        <v>0</v>
      </c>
      <c r="I39" s="186">
        <f t="shared" si="13"/>
        <v>0</v>
      </c>
    </row>
    <row r="40" spans="1:9" ht="16.5" thickBot="1" thickTop="1">
      <c r="A40" s="187"/>
      <c r="B40" s="159">
        <f>SUM(B33:B39)</f>
        <v>1085.17</v>
      </c>
      <c r="C40" s="103">
        <f>C39</f>
        <v>41.29</v>
      </c>
      <c r="D40" s="188">
        <v>22</v>
      </c>
      <c r="E40" s="159">
        <f>ROUND(B40*C40,2)</f>
        <v>44806.67</v>
      </c>
      <c r="F40" s="103">
        <f>SUM(F33:F39)</f>
        <v>464971.24999999994</v>
      </c>
      <c r="G40" s="187"/>
      <c r="H40" s="103">
        <f>SUM(H33:H39)</f>
        <v>520775.49000000005</v>
      </c>
      <c r="I40" s="189">
        <f>SUM(I33:I39)</f>
        <v>985746.74</v>
      </c>
    </row>
    <row r="41" spans="2:9" ht="15.75" thickTop="1">
      <c r="B41" s="115"/>
      <c r="C41" s="115"/>
      <c r="D41" s="115"/>
      <c r="E41" s="115"/>
      <c r="F41" s="115"/>
      <c r="H41" s="115"/>
      <c r="I41" s="177">
        <f>ROUND(E40*D40,2)-I40</f>
        <v>0</v>
      </c>
    </row>
  </sheetData>
  <sheetProtection/>
  <mergeCells count="1">
    <mergeCell ref="R2:Y2"/>
  </mergeCells>
  <printOptions/>
  <pageMargins left="0.511811024" right="0.511811024" top="0.787401575" bottom="0.787401575" header="0.31496062" footer="0.31496062"/>
  <pageSetup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144.140625" style="0" customWidth="1"/>
    <col min="2" max="2" width="9.421875" style="0" customWidth="1"/>
    <col min="3" max="4" width="11.8515625" style="0" bestFit="1" customWidth="1"/>
    <col min="5" max="7" width="13.28125" style="0" bestFit="1" customWidth="1"/>
    <col min="8" max="8" width="13.00390625" style="0" bestFit="1" customWidth="1"/>
    <col min="9" max="9" width="14.00390625" style="0" bestFit="1" customWidth="1"/>
    <col min="10" max="10" width="14.140625" style="0" bestFit="1" customWidth="1"/>
    <col min="11" max="11" width="12.57421875" style="0" bestFit="1" customWidth="1"/>
    <col min="12" max="12" width="12.00390625" style="0" bestFit="1" customWidth="1"/>
    <col min="13" max="13" width="11.57421875" style="0" bestFit="1" customWidth="1"/>
    <col min="14" max="14" width="11.28125" style="0" bestFit="1" customWidth="1"/>
    <col min="15" max="16" width="11.8515625" style="0" bestFit="1" customWidth="1"/>
    <col min="17" max="18" width="10.8515625" style="0" bestFit="1" customWidth="1"/>
    <col min="19" max="25" width="10.421875" style="0" bestFit="1" customWidth="1"/>
    <col min="26" max="26" width="10.8515625" style="0" bestFit="1" customWidth="1"/>
    <col min="27" max="27" width="9.8515625" style="0" bestFit="1" customWidth="1"/>
    <col min="28" max="28" width="13.57421875" style="0" bestFit="1" customWidth="1"/>
    <col min="29" max="29" width="8.7109375" style="0" bestFit="1" customWidth="1"/>
    <col min="30" max="30" width="12.28125" style="0" bestFit="1" customWidth="1"/>
    <col min="31" max="31" width="9.00390625" style="0" customWidth="1"/>
    <col min="32" max="32" width="13.421875" style="0" bestFit="1" customWidth="1"/>
  </cols>
  <sheetData>
    <row r="1" spans="3:31" ht="15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3:31" ht="15"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3:31" ht="15"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3:31" ht="15"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3:31" ht="15"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3:31" ht="15"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3:31" ht="15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17" ht="20.25">
      <c r="A17" s="400" t="s">
        <v>387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52">
      <selection activeCell="M3" sqref="M3"/>
    </sheetView>
  </sheetViews>
  <sheetFormatPr defaultColWidth="9.140625" defaultRowHeight="15"/>
  <cols>
    <col min="6" max="7" width="13.28125" style="0" bestFit="1" customWidth="1"/>
    <col min="12" max="12" width="14.140625" style="0" bestFit="1" customWidth="1"/>
  </cols>
  <sheetData>
    <row r="1" ht="15">
      <c r="M1" t="s">
        <v>388</v>
      </c>
    </row>
    <row r="2" spans="13:14" ht="15">
      <c r="M2" s="215">
        <v>2013</v>
      </c>
      <c r="N2" s="215" t="s">
        <v>375</v>
      </c>
    </row>
    <row r="3" spans="4:18" ht="15">
      <c r="D3" s="365" t="s">
        <v>376</v>
      </c>
      <c r="H3" s="366"/>
      <c r="I3" s="367"/>
      <c r="J3" s="368" t="s">
        <v>377</v>
      </c>
      <c r="M3" s="130" t="s">
        <v>378</v>
      </c>
      <c r="N3" s="130" t="s">
        <v>379</v>
      </c>
      <c r="O3" s="115"/>
      <c r="P3" s="115"/>
      <c r="Q3" s="115"/>
      <c r="R3" s="115"/>
    </row>
    <row r="4" spans="2:18" ht="15">
      <c r="B4" s="369" t="s">
        <v>380</v>
      </c>
      <c r="C4" s="370" t="s">
        <v>381</v>
      </c>
      <c r="D4" s="371" t="s">
        <v>265</v>
      </c>
      <c r="E4" s="370"/>
      <c r="F4" s="370"/>
      <c r="G4" s="370" t="s">
        <v>382</v>
      </c>
      <c r="H4" s="370" t="s">
        <v>383</v>
      </c>
      <c r="I4" s="372" t="s">
        <v>384</v>
      </c>
      <c r="J4" s="373">
        <v>100</v>
      </c>
      <c r="L4" t="s">
        <v>385</v>
      </c>
      <c r="M4" s="115">
        <v>2000</v>
      </c>
      <c r="N4" s="115">
        <v>19.75</v>
      </c>
      <c r="O4" s="115">
        <f>ROUND(M4*N4%,2)+M4</f>
        <v>2395</v>
      </c>
      <c r="P4" s="115"/>
      <c r="Q4" s="115"/>
      <c r="R4" s="115"/>
    </row>
    <row r="5" spans="2:18" ht="15">
      <c r="B5" s="374">
        <v>41426</v>
      </c>
      <c r="C5" s="375">
        <v>1</v>
      </c>
      <c r="D5" s="376">
        <v>0.75</v>
      </c>
      <c r="E5" s="377">
        <v>100</v>
      </c>
      <c r="F5" s="378">
        <f aca="true" t="shared" si="0" ref="F5:F15">ROUND(D5/E5,10)+1</f>
        <v>1.0075</v>
      </c>
      <c r="G5" s="379">
        <f>F5</f>
        <v>1.0075</v>
      </c>
      <c r="H5" s="380">
        <f aca="true" t="shared" si="1" ref="H5:H59">ROUND(G5*100,4)-100</f>
        <v>0.75</v>
      </c>
      <c r="I5" s="381">
        <f>ROUND(J4*G5,6)</f>
        <v>100.75</v>
      </c>
      <c r="J5" s="382">
        <f>ROUND(J4*D5%,6)+J4</f>
        <v>100.75</v>
      </c>
      <c r="L5" t="s">
        <v>128</v>
      </c>
      <c r="M5" s="115">
        <v>530</v>
      </c>
      <c r="N5" s="115">
        <v>19.75</v>
      </c>
      <c r="O5" s="115">
        <f>ROUND(M5*N5%,2)+M5</f>
        <v>634.6800000000001</v>
      </c>
      <c r="P5" s="115"/>
      <c r="Q5" s="115"/>
      <c r="R5" s="115"/>
    </row>
    <row r="6" spans="2:18" ht="15">
      <c r="B6" s="374">
        <v>41456</v>
      </c>
      <c r="C6" s="383">
        <v>2</v>
      </c>
      <c r="D6" s="376">
        <v>0.26</v>
      </c>
      <c r="E6" s="384">
        <v>100</v>
      </c>
      <c r="F6" s="385">
        <f t="shared" si="0"/>
        <v>1.0026</v>
      </c>
      <c r="G6" s="385">
        <f aca="true" t="shared" si="2" ref="G6:G15">ROUND(G5*F6,10)</f>
        <v>1.0101195</v>
      </c>
      <c r="H6" s="386">
        <f t="shared" si="1"/>
        <v>1.0120000000000005</v>
      </c>
      <c r="I6" s="381">
        <f>ROUND(J4*G6,6)</f>
        <v>101.01195</v>
      </c>
      <c r="J6" s="387">
        <f>ROUND(J5*D6%,6)+J5</f>
        <v>101.01195</v>
      </c>
      <c r="L6" t="s">
        <v>386</v>
      </c>
      <c r="M6" s="115">
        <v>550</v>
      </c>
      <c r="N6" s="115">
        <v>19.75</v>
      </c>
      <c r="O6" s="115">
        <f>ROUND(M6*N6%,2)+M6</f>
        <v>658.63</v>
      </c>
      <c r="P6" s="115"/>
      <c r="Q6" s="115"/>
      <c r="R6" s="115"/>
    </row>
    <row r="7" spans="2:18" ht="15">
      <c r="B7" s="374">
        <v>41487</v>
      </c>
      <c r="C7" s="375">
        <v>3</v>
      </c>
      <c r="D7" s="376">
        <v>0.15</v>
      </c>
      <c r="E7" s="384">
        <v>100</v>
      </c>
      <c r="F7" s="385">
        <f t="shared" si="0"/>
        <v>1.0015</v>
      </c>
      <c r="G7" s="385">
        <f t="shared" si="2"/>
        <v>1.0116346793</v>
      </c>
      <c r="H7" s="386">
        <f t="shared" si="1"/>
        <v>1.163499999999999</v>
      </c>
      <c r="I7" s="381">
        <f>ROUND(J4*G7,6)</f>
        <v>101.163468</v>
      </c>
      <c r="J7" s="387">
        <f>ROUND(J6*D7%,6)+J6</f>
        <v>101.163468</v>
      </c>
      <c r="K7" s="243"/>
      <c r="M7" s="115"/>
      <c r="N7" s="115"/>
      <c r="O7" s="115"/>
      <c r="P7" s="115"/>
      <c r="Q7" s="115"/>
      <c r="R7" s="115"/>
    </row>
    <row r="8" spans="2:18" ht="15">
      <c r="B8" s="374">
        <v>41518</v>
      </c>
      <c r="C8" s="383">
        <v>4</v>
      </c>
      <c r="D8" s="376">
        <v>1.5</v>
      </c>
      <c r="E8" s="384">
        <v>100</v>
      </c>
      <c r="F8" s="385">
        <f t="shared" si="0"/>
        <v>1.015</v>
      </c>
      <c r="G8" s="385">
        <f t="shared" si="2"/>
        <v>1.0268091995</v>
      </c>
      <c r="H8" s="388">
        <f t="shared" si="1"/>
        <v>2.680899999999994</v>
      </c>
      <c r="I8" s="381">
        <f>ROUND(J4*G8,6)</f>
        <v>102.68092</v>
      </c>
      <c r="J8" s="387">
        <f>ROUND(J7*D8%,6)+J7</f>
        <v>102.68092</v>
      </c>
      <c r="K8" s="206"/>
      <c r="M8" s="115"/>
      <c r="N8" s="115"/>
      <c r="O8" s="115"/>
      <c r="P8" s="115"/>
      <c r="Q8" s="115"/>
      <c r="R8" s="115"/>
    </row>
    <row r="9" spans="2:18" ht="15">
      <c r="B9" s="374">
        <v>41548</v>
      </c>
      <c r="C9" s="375">
        <v>5</v>
      </c>
      <c r="D9" s="376">
        <v>0.86</v>
      </c>
      <c r="E9" s="384">
        <v>100</v>
      </c>
      <c r="F9" s="385">
        <f t="shared" si="0"/>
        <v>1.0086</v>
      </c>
      <c r="G9" s="385">
        <f t="shared" si="2"/>
        <v>1.0356397586</v>
      </c>
      <c r="H9" s="386">
        <f t="shared" si="1"/>
        <v>3.563999999999993</v>
      </c>
      <c r="I9" s="381">
        <f>ROUND(J4*G9,6)</f>
        <v>103.563976</v>
      </c>
      <c r="J9" s="387">
        <f aca="true" t="shared" si="3" ref="J9:J59">ROUND(J8*D9%,6)+J8</f>
        <v>103.563976</v>
      </c>
      <c r="M9" s="115"/>
      <c r="N9" s="115"/>
      <c r="O9" s="115"/>
      <c r="P9" s="115"/>
      <c r="Q9" s="115"/>
      <c r="R9" s="115"/>
    </row>
    <row r="10" spans="2:18" ht="15">
      <c r="B10" s="374">
        <v>41579</v>
      </c>
      <c r="C10" s="383">
        <v>6</v>
      </c>
      <c r="D10" s="376">
        <v>0.29</v>
      </c>
      <c r="E10" s="384">
        <v>100</v>
      </c>
      <c r="F10" s="385">
        <f t="shared" si="0"/>
        <v>1.0029</v>
      </c>
      <c r="G10" s="385">
        <f t="shared" si="2"/>
        <v>1.0386431139</v>
      </c>
      <c r="H10" s="388">
        <f t="shared" si="1"/>
        <v>3.8643</v>
      </c>
      <c r="I10" s="381">
        <f>ROUND(J4*G10,6)</f>
        <v>103.864311</v>
      </c>
      <c r="J10" s="387">
        <f t="shared" si="3"/>
        <v>103.864312</v>
      </c>
      <c r="M10" s="115"/>
      <c r="N10" s="115"/>
      <c r="O10" s="115"/>
      <c r="P10" s="115"/>
      <c r="Q10" s="115"/>
      <c r="R10" s="115"/>
    </row>
    <row r="11" spans="2:18" ht="15">
      <c r="B11" s="374">
        <v>41609</v>
      </c>
      <c r="C11" s="375">
        <v>7</v>
      </c>
      <c r="D11" s="376">
        <v>0.6</v>
      </c>
      <c r="E11" s="384">
        <v>100</v>
      </c>
      <c r="F11" s="385">
        <f t="shared" si="0"/>
        <v>1.006</v>
      </c>
      <c r="G11" s="385">
        <f t="shared" si="2"/>
        <v>1.0448749726</v>
      </c>
      <c r="H11" s="386">
        <f t="shared" si="1"/>
        <v>4.487499999999997</v>
      </c>
      <c r="I11" s="381">
        <f>ROUND(J4*G11,6)</f>
        <v>104.487497</v>
      </c>
      <c r="J11" s="387">
        <f t="shared" si="3"/>
        <v>104.487498</v>
      </c>
      <c r="M11" s="115"/>
      <c r="N11" s="115"/>
      <c r="O11" s="115"/>
      <c r="P11" s="115"/>
      <c r="Q11" s="115"/>
      <c r="R11" s="115"/>
    </row>
    <row r="12" spans="2:18" ht="15">
      <c r="B12" s="374">
        <v>41640</v>
      </c>
      <c r="C12" s="383">
        <v>8</v>
      </c>
      <c r="D12" s="376">
        <v>0.48</v>
      </c>
      <c r="E12" s="384">
        <v>100</v>
      </c>
      <c r="F12" s="385">
        <f t="shared" si="0"/>
        <v>1.0048</v>
      </c>
      <c r="G12" s="385">
        <f t="shared" si="2"/>
        <v>1.0498903725</v>
      </c>
      <c r="H12" s="386">
        <f t="shared" si="1"/>
        <v>4.989000000000004</v>
      </c>
      <c r="I12" s="381">
        <f>ROUND(J4*G12,6)</f>
        <v>104.989037</v>
      </c>
      <c r="J12" s="387">
        <f t="shared" si="3"/>
        <v>104.98903800000001</v>
      </c>
      <c r="M12" s="115"/>
      <c r="N12" s="115"/>
      <c r="O12" s="115"/>
      <c r="P12" s="115"/>
      <c r="Q12" s="115"/>
      <c r="R12" s="115"/>
    </row>
    <row r="13" spans="2:18" ht="15">
      <c r="B13" s="374">
        <v>41671</v>
      </c>
      <c r="C13" s="375">
        <v>9</v>
      </c>
      <c r="D13" s="376">
        <v>0.38</v>
      </c>
      <c r="E13" s="384">
        <v>100</v>
      </c>
      <c r="F13" s="385">
        <f t="shared" si="0"/>
        <v>1.0038</v>
      </c>
      <c r="G13" s="385">
        <f t="shared" si="2"/>
        <v>1.0538799559</v>
      </c>
      <c r="H13" s="386">
        <f t="shared" si="1"/>
        <v>5.388000000000005</v>
      </c>
      <c r="I13" s="381">
        <f>ROUND(J4*G13,6)</f>
        <v>105.387996</v>
      </c>
      <c r="J13" s="387">
        <f t="shared" si="3"/>
        <v>105.387996</v>
      </c>
      <c r="M13" s="115"/>
      <c r="N13" s="115"/>
      <c r="O13" s="115"/>
      <c r="P13" s="115"/>
      <c r="Q13" s="115"/>
      <c r="R13" s="115"/>
    </row>
    <row r="14" spans="2:18" ht="15">
      <c r="B14" s="374">
        <v>41699</v>
      </c>
      <c r="C14" s="383">
        <v>10</v>
      </c>
      <c r="D14" s="376">
        <v>1.67</v>
      </c>
      <c r="E14" s="384">
        <v>100</v>
      </c>
      <c r="F14" s="385">
        <f t="shared" si="0"/>
        <v>1.0167</v>
      </c>
      <c r="G14" s="385">
        <f t="shared" si="2"/>
        <v>1.0714797512</v>
      </c>
      <c r="H14" s="386">
        <f t="shared" si="1"/>
        <v>7.147999999999996</v>
      </c>
      <c r="I14" s="381">
        <f>ROUND(J4*G14,6)</f>
        <v>107.147975</v>
      </c>
      <c r="J14" s="387">
        <f t="shared" si="3"/>
        <v>107.147976</v>
      </c>
      <c r="M14" s="115"/>
      <c r="N14" s="115"/>
      <c r="O14" s="115"/>
      <c r="P14" s="115"/>
      <c r="Q14" s="115"/>
      <c r="R14" s="115"/>
    </row>
    <row r="15" spans="2:18" ht="15">
      <c r="B15" s="374">
        <v>41730</v>
      </c>
      <c r="C15" s="375">
        <v>11</v>
      </c>
      <c r="D15" s="376">
        <v>0.78</v>
      </c>
      <c r="E15" s="384">
        <v>100</v>
      </c>
      <c r="F15" s="385">
        <f t="shared" si="0"/>
        <v>1.0078</v>
      </c>
      <c r="G15" s="385">
        <f t="shared" si="2"/>
        <v>1.0798372933</v>
      </c>
      <c r="H15" s="386">
        <f t="shared" si="1"/>
        <v>7.983699999999999</v>
      </c>
      <c r="I15" s="381">
        <f>ROUND(J4*G15,6)</f>
        <v>107.983729</v>
      </c>
      <c r="J15" s="387">
        <f t="shared" si="3"/>
        <v>107.98373</v>
      </c>
      <c r="M15" s="115"/>
      <c r="N15" s="115"/>
      <c r="O15" s="115"/>
      <c r="P15" s="115"/>
      <c r="Q15" s="115"/>
      <c r="R15" s="115"/>
    </row>
    <row r="16" spans="2:18" ht="15">
      <c r="B16" s="374">
        <v>41760</v>
      </c>
      <c r="C16" s="389">
        <v>12</v>
      </c>
      <c r="D16" s="376">
        <v>-0.13</v>
      </c>
      <c r="E16" s="390">
        <v>100</v>
      </c>
      <c r="F16" s="391">
        <f>ROUND(D16/E16,10)+1</f>
        <v>0.9987</v>
      </c>
      <c r="G16" s="391">
        <f>ROUND(G15*F16,10)</f>
        <v>1.0784335048</v>
      </c>
      <c r="H16" s="388">
        <f t="shared" si="1"/>
        <v>7.843400000000003</v>
      </c>
      <c r="I16" s="381">
        <f>ROUND(J4*G16,6)</f>
        <v>107.84335</v>
      </c>
      <c r="J16" s="387">
        <f t="shared" si="3"/>
        <v>107.843351</v>
      </c>
      <c r="M16" s="115"/>
      <c r="N16" s="115"/>
      <c r="O16" s="115"/>
      <c r="P16" s="115"/>
      <c r="Q16" s="115"/>
      <c r="R16" s="115"/>
    </row>
    <row r="17" spans="2:18" ht="15">
      <c r="B17" s="374">
        <v>41791</v>
      </c>
      <c r="C17" s="375">
        <v>13</v>
      </c>
      <c r="D17" s="376">
        <v>-0.74</v>
      </c>
      <c r="E17" s="384">
        <v>100</v>
      </c>
      <c r="F17" s="385">
        <f>ROUND(D17/E17,10)+1</f>
        <v>0.9926</v>
      </c>
      <c r="G17" s="385">
        <f>ROUND(G16*F17,10)</f>
        <v>1.0704530969</v>
      </c>
      <c r="H17" s="386">
        <f t="shared" si="1"/>
        <v>7.0452999999999975</v>
      </c>
      <c r="I17" s="381">
        <f>ROUND(J4*G17,6)</f>
        <v>107.04531</v>
      </c>
      <c r="J17" s="387">
        <f t="shared" si="3"/>
        <v>107.04531</v>
      </c>
      <c r="M17" s="115"/>
      <c r="N17" s="115"/>
      <c r="O17" s="115"/>
      <c r="P17" s="115"/>
      <c r="Q17" s="115"/>
      <c r="R17" s="115"/>
    </row>
    <row r="18" spans="2:18" ht="15">
      <c r="B18" s="374">
        <v>41821</v>
      </c>
      <c r="C18" s="383">
        <v>14</v>
      </c>
      <c r="D18" s="376">
        <v>-0.61</v>
      </c>
      <c r="E18" s="384">
        <v>100</v>
      </c>
      <c r="F18" s="385">
        <f>ROUND(D18/E18,10)+1</f>
        <v>0.9939</v>
      </c>
      <c r="G18" s="385">
        <f>ROUND(G17*F18,10)</f>
        <v>1.063923333</v>
      </c>
      <c r="H18" s="386">
        <f t="shared" si="1"/>
        <v>6.392300000000006</v>
      </c>
      <c r="I18" s="381">
        <f>ROUND(J4*G18,6)</f>
        <v>106.392333</v>
      </c>
      <c r="J18" s="387">
        <f t="shared" si="3"/>
        <v>106.392334</v>
      </c>
      <c r="M18" s="115"/>
      <c r="N18" s="115"/>
      <c r="O18" s="115"/>
      <c r="P18" s="115"/>
      <c r="Q18" s="115"/>
      <c r="R18" s="115"/>
    </row>
    <row r="19" spans="2:18" ht="15">
      <c r="B19" s="374">
        <v>41852</v>
      </c>
      <c r="C19" s="375">
        <v>15</v>
      </c>
      <c r="D19" s="376">
        <v>-0.27</v>
      </c>
      <c r="E19" s="384">
        <v>100</v>
      </c>
      <c r="F19" s="385">
        <f aca="true" t="shared" si="4" ref="F19:F59">ROUND(D19/E19,10)+1</f>
        <v>0.9973</v>
      </c>
      <c r="G19" s="385">
        <f aca="true" t="shared" si="5" ref="G19:G59">ROUND(G18*F19,10)</f>
        <v>1.06105074</v>
      </c>
      <c r="H19" s="386">
        <f t="shared" si="1"/>
        <v>6.105099999999993</v>
      </c>
      <c r="I19" s="381">
        <f>ROUND(J4*G19,6)</f>
        <v>106.105074</v>
      </c>
      <c r="J19" s="387">
        <f t="shared" si="3"/>
        <v>106.105075</v>
      </c>
      <c r="M19" s="115"/>
      <c r="N19" s="115"/>
      <c r="O19" s="115"/>
      <c r="P19" s="115"/>
      <c r="Q19" s="115"/>
      <c r="R19" s="115"/>
    </row>
    <row r="20" spans="2:18" ht="15">
      <c r="B20" s="374">
        <v>41883</v>
      </c>
      <c r="C20" s="383">
        <v>16</v>
      </c>
      <c r="D20" s="376">
        <v>0.2</v>
      </c>
      <c r="E20" s="384">
        <v>100</v>
      </c>
      <c r="F20" s="385">
        <f t="shared" si="4"/>
        <v>1.002</v>
      </c>
      <c r="G20" s="385">
        <f t="shared" si="5"/>
        <v>1.0631728415</v>
      </c>
      <c r="H20" s="386">
        <f t="shared" si="1"/>
        <v>6.317300000000003</v>
      </c>
      <c r="I20" s="381">
        <f>ROUND(J4*G20,6)</f>
        <v>106.317284</v>
      </c>
      <c r="J20" s="387">
        <f t="shared" si="3"/>
        <v>106.317285</v>
      </c>
      <c r="M20" s="115"/>
      <c r="N20" s="115"/>
      <c r="O20" s="115"/>
      <c r="P20" s="115"/>
      <c r="Q20" s="115"/>
      <c r="R20" s="115"/>
    </row>
    <row r="21" spans="2:10" ht="15">
      <c r="B21" s="374">
        <v>41913</v>
      </c>
      <c r="C21" s="375">
        <v>17</v>
      </c>
      <c r="D21" s="376">
        <v>0.28</v>
      </c>
      <c r="E21" s="384">
        <v>100</v>
      </c>
      <c r="F21" s="385">
        <f t="shared" si="4"/>
        <v>1.0028</v>
      </c>
      <c r="G21" s="385">
        <f t="shared" si="5"/>
        <v>1.0661497255</v>
      </c>
      <c r="H21" s="386">
        <f t="shared" si="1"/>
        <v>6.614999999999995</v>
      </c>
      <c r="I21" s="381">
        <f>ROUND(J4*G21,6)</f>
        <v>106.614973</v>
      </c>
      <c r="J21" s="387">
        <f t="shared" si="3"/>
        <v>106.61497299999999</v>
      </c>
    </row>
    <row r="22" spans="2:10" ht="15">
      <c r="B22" s="374">
        <v>41944</v>
      </c>
      <c r="C22" s="383">
        <v>18</v>
      </c>
      <c r="D22" s="376">
        <v>0.98</v>
      </c>
      <c r="E22" s="384">
        <v>100</v>
      </c>
      <c r="F22" s="385">
        <f t="shared" si="4"/>
        <v>1.0098</v>
      </c>
      <c r="G22" s="385">
        <f t="shared" si="5"/>
        <v>1.0765979928</v>
      </c>
      <c r="H22" s="386">
        <f t="shared" si="1"/>
        <v>7.659800000000004</v>
      </c>
      <c r="I22" s="381">
        <f>ROUND(J4*G22,6)</f>
        <v>107.659799</v>
      </c>
      <c r="J22" s="387">
        <f t="shared" si="3"/>
        <v>107.65979999999999</v>
      </c>
    </row>
    <row r="23" spans="2:10" ht="15">
      <c r="B23" s="374">
        <v>41974</v>
      </c>
      <c r="C23" s="375">
        <v>19</v>
      </c>
      <c r="D23" s="376">
        <v>0.62</v>
      </c>
      <c r="E23" s="384">
        <v>100</v>
      </c>
      <c r="F23" s="385">
        <f t="shared" si="4"/>
        <v>1.0062</v>
      </c>
      <c r="G23" s="385">
        <f t="shared" si="5"/>
        <v>1.0832729004</v>
      </c>
      <c r="H23" s="386">
        <f t="shared" si="1"/>
        <v>8.327299999999994</v>
      </c>
      <c r="I23" s="381">
        <f>ROUND(J4*G23,6)</f>
        <v>108.32729</v>
      </c>
      <c r="J23" s="387">
        <f t="shared" si="3"/>
        <v>108.32729099999999</v>
      </c>
    </row>
    <row r="24" spans="2:10" ht="15">
      <c r="B24" s="374">
        <v>42005</v>
      </c>
      <c r="C24" s="392">
        <v>20</v>
      </c>
      <c r="D24" s="376">
        <v>0.76</v>
      </c>
      <c r="E24" s="393">
        <v>100</v>
      </c>
      <c r="F24" s="394">
        <f t="shared" si="4"/>
        <v>1.0076</v>
      </c>
      <c r="G24" s="394">
        <f t="shared" si="5"/>
        <v>1.0915057744</v>
      </c>
      <c r="H24" s="395">
        <f t="shared" si="1"/>
        <v>9.150599999999997</v>
      </c>
      <c r="I24" s="396">
        <f>ROUND(J4*G24,6)</f>
        <v>109.150577</v>
      </c>
      <c r="J24" s="387">
        <f t="shared" si="3"/>
        <v>109.15057799999998</v>
      </c>
    </row>
    <row r="25" spans="2:10" ht="15">
      <c r="B25" s="374">
        <v>42036</v>
      </c>
      <c r="C25" s="375">
        <v>21</v>
      </c>
      <c r="D25" s="376">
        <v>0.27</v>
      </c>
      <c r="E25" s="384">
        <v>100</v>
      </c>
      <c r="F25" s="385">
        <f t="shared" si="4"/>
        <v>1.0027</v>
      </c>
      <c r="G25" s="385">
        <f t="shared" si="5"/>
        <v>1.09445284</v>
      </c>
      <c r="H25" s="386">
        <f t="shared" si="1"/>
        <v>9.445300000000003</v>
      </c>
      <c r="I25" s="381">
        <f>ROUND(J4*G25,6)</f>
        <v>109.445284</v>
      </c>
      <c r="J25" s="387">
        <f t="shared" si="3"/>
        <v>109.44528499999998</v>
      </c>
    </row>
    <row r="26" spans="2:10" ht="15">
      <c r="B26" s="374">
        <v>42064</v>
      </c>
      <c r="C26" s="383">
        <v>22</v>
      </c>
      <c r="D26" s="376">
        <v>0.98</v>
      </c>
      <c r="E26" s="384">
        <v>100</v>
      </c>
      <c r="F26" s="385">
        <f t="shared" si="4"/>
        <v>1.0098</v>
      </c>
      <c r="G26" s="385">
        <f t="shared" si="5"/>
        <v>1.1051784778</v>
      </c>
      <c r="H26" s="386">
        <f t="shared" si="1"/>
        <v>10.517799999999994</v>
      </c>
      <c r="I26" s="381">
        <f>ROUND(J4*G26,6)</f>
        <v>110.517848</v>
      </c>
      <c r="J26" s="387">
        <f t="shared" si="3"/>
        <v>110.51784899999998</v>
      </c>
    </row>
    <row r="27" spans="2:10" ht="15">
      <c r="B27" s="374">
        <v>42095</v>
      </c>
      <c r="C27" s="375">
        <v>23</v>
      </c>
      <c r="D27" s="376">
        <v>1.17</v>
      </c>
      <c r="E27" s="384">
        <v>100</v>
      </c>
      <c r="F27" s="385">
        <f t="shared" si="4"/>
        <v>1.0117</v>
      </c>
      <c r="G27" s="385">
        <f t="shared" si="5"/>
        <v>1.118109066</v>
      </c>
      <c r="H27" s="386">
        <f t="shared" si="1"/>
        <v>11.810900000000004</v>
      </c>
      <c r="I27" s="381">
        <f>ROUND(J4*G27,6)</f>
        <v>111.810907</v>
      </c>
      <c r="J27" s="387">
        <f t="shared" si="3"/>
        <v>111.81090799999998</v>
      </c>
    </row>
    <row r="28" spans="2:10" ht="15">
      <c r="B28" s="374">
        <v>42125</v>
      </c>
      <c r="C28" s="392">
        <v>24</v>
      </c>
      <c r="D28" s="376">
        <v>0.41</v>
      </c>
      <c r="E28" s="393">
        <v>100</v>
      </c>
      <c r="F28" s="394">
        <f t="shared" si="4"/>
        <v>1.0041</v>
      </c>
      <c r="G28" s="394">
        <f t="shared" si="5"/>
        <v>1.1226933132</v>
      </c>
      <c r="H28" s="395">
        <f t="shared" si="1"/>
        <v>12.269300000000001</v>
      </c>
      <c r="I28" s="396">
        <f>ROUND(J4*G28,6)</f>
        <v>112.269331</v>
      </c>
      <c r="J28" s="387">
        <f t="shared" si="3"/>
        <v>112.26933299999999</v>
      </c>
    </row>
    <row r="29" spans="2:10" ht="15">
      <c r="B29" s="374">
        <v>42156</v>
      </c>
      <c r="C29" s="375">
        <v>25</v>
      </c>
      <c r="D29" s="376">
        <v>0.67</v>
      </c>
      <c r="E29" s="384">
        <v>100</v>
      </c>
      <c r="F29" s="385">
        <f t="shared" si="4"/>
        <v>1.0067</v>
      </c>
      <c r="G29" s="385">
        <f t="shared" si="5"/>
        <v>1.1302153584</v>
      </c>
      <c r="H29" s="386">
        <f t="shared" si="1"/>
        <v>13.021500000000003</v>
      </c>
      <c r="I29" s="381">
        <f>ROUND(J4*G29,6)</f>
        <v>113.021536</v>
      </c>
      <c r="J29" s="387">
        <f t="shared" si="3"/>
        <v>113.02153799999999</v>
      </c>
    </row>
    <row r="30" spans="2:10" ht="15">
      <c r="B30" s="374">
        <v>42186</v>
      </c>
      <c r="C30" s="383">
        <v>26</v>
      </c>
      <c r="D30" s="376">
        <v>0.69</v>
      </c>
      <c r="E30" s="384">
        <v>100</v>
      </c>
      <c r="F30" s="385">
        <f t="shared" si="4"/>
        <v>1.0069</v>
      </c>
      <c r="G30" s="385">
        <f t="shared" si="5"/>
        <v>1.1380138444</v>
      </c>
      <c r="H30" s="386">
        <f t="shared" si="1"/>
        <v>13.801400000000001</v>
      </c>
      <c r="I30" s="381">
        <f>ROUND(J4*G30,6)</f>
        <v>113.801384</v>
      </c>
      <c r="J30" s="387">
        <f t="shared" si="3"/>
        <v>113.80138699999999</v>
      </c>
    </row>
    <row r="31" spans="2:10" ht="15">
      <c r="B31" s="374">
        <v>42217</v>
      </c>
      <c r="C31" s="375">
        <v>27</v>
      </c>
      <c r="D31" s="376">
        <v>0.28</v>
      </c>
      <c r="E31" s="384">
        <v>100</v>
      </c>
      <c r="F31" s="385">
        <f t="shared" si="4"/>
        <v>1.0028</v>
      </c>
      <c r="G31" s="385">
        <f t="shared" si="5"/>
        <v>1.1412002832</v>
      </c>
      <c r="H31" s="386">
        <f t="shared" si="1"/>
        <v>14.120000000000005</v>
      </c>
      <c r="I31" s="381">
        <f>ROUND(J4*G31,6)</f>
        <v>114.120028</v>
      </c>
      <c r="J31" s="387">
        <f t="shared" si="3"/>
        <v>114.120031</v>
      </c>
    </row>
    <row r="32" spans="2:10" ht="15">
      <c r="B32" s="374">
        <v>42248</v>
      </c>
      <c r="C32" s="383">
        <v>28</v>
      </c>
      <c r="D32" s="376">
        <v>0.95</v>
      </c>
      <c r="E32" s="384">
        <v>100</v>
      </c>
      <c r="F32" s="385">
        <f t="shared" si="4"/>
        <v>1.0095</v>
      </c>
      <c r="G32" s="385">
        <f t="shared" si="5"/>
        <v>1.1520416859</v>
      </c>
      <c r="H32" s="386">
        <f t="shared" si="1"/>
        <v>15.2042</v>
      </c>
      <c r="I32" s="381">
        <f>ROUND(J4*G32,6)</f>
        <v>115.204169</v>
      </c>
      <c r="J32" s="387">
        <f t="shared" si="3"/>
        <v>115.204171</v>
      </c>
    </row>
    <row r="33" spans="2:10" ht="15">
      <c r="B33" s="374">
        <v>42278</v>
      </c>
      <c r="C33" s="375">
        <v>29</v>
      </c>
      <c r="D33" s="376">
        <v>1.89</v>
      </c>
      <c r="E33" s="384">
        <v>100</v>
      </c>
      <c r="F33" s="385">
        <f t="shared" si="4"/>
        <v>1.0189</v>
      </c>
      <c r="G33" s="385">
        <f t="shared" si="5"/>
        <v>1.1738152738</v>
      </c>
      <c r="H33" s="386">
        <f t="shared" si="1"/>
        <v>17.381500000000003</v>
      </c>
      <c r="I33" s="381">
        <f>ROUND(J4*G33,6)</f>
        <v>117.381527</v>
      </c>
      <c r="J33" s="387">
        <f t="shared" si="3"/>
        <v>117.38153</v>
      </c>
    </row>
    <row r="34" spans="2:10" ht="15">
      <c r="B34" s="374">
        <v>42309</v>
      </c>
      <c r="C34" s="383">
        <v>30</v>
      </c>
      <c r="D34" s="376">
        <v>1.52</v>
      </c>
      <c r="E34" s="390">
        <v>100</v>
      </c>
      <c r="F34" s="391">
        <f t="shared" si="4"/>
        <v>1.0152</v>
      </c>
      <c r="G34" s="391">
        <f t="shared" si="5"/>
        <v>1.191657266</v>
      </c>
      <c r="H34" s="388">
        <f t="shared" si="1"/>
        <v>19.1657</v>
      </c>
      <c r="I34" s="381">
        <f>ROUND(J4*G34,6)</f>
        <v>119.165727</v>
      </c>
      <c r="J34" s="387">
        <f t="shared" si="3"/>
        <v>119.165729</v>
      </c>
    </row>
    <row r="35" spans="2:10" ht="15">
      <c r="B35" s="374">
        <v>42339</v>
      </c>
      <c r="C35" s="375">
        <v>31</v>
      </c>
      <c r="D35" s="376">
        <v>0.49</v>
      </c>
      <c r="E35" s="384">
        <v>100</v>
      </c>
      <c r="F35" s="385">
        <f t="shared" si="4"/>
        <v>1.0049</v>
      </c>
      <c r="G35" s="385">
        <f t="shared" si="5"/>
        <v>1.1974963866</v>
      </c>
      <c r="H35" s="386">
        <f t="shared" si="1"/>
        <v>19.7496</v>
      </c>
      <c r="I35" s="381">
        <f>ROUND(J4*G35,6)</f>
        <v>119.749639</v>
      </c>
      <c r="J35" s="387">
        <f t="shared" si="3"/>
        <v>119.749641</v>
      </c>
    </row>
    <row r="36" spans="2:10" ht="15">
      <c r="B36" s="374">
        <v>42370</v>
      </c>
      <c r="C36" s="383">
        <v>32</v>
      </c>
      <c r="D36" s="397"/>
      <c r="E36" s="384">
        <v>100</v>
      </c>
      <c r="F36" s="385">
        <f t="shared" si="4"/>
        <v>1</v>
      </c>
      <c r="G36" s="385">
        <f t="shared" si="5"/>
        <v>1.1974963866</v>
      </c>
      <c r="H36" s="386">
        <f t="shared" si="1"/>
        <v>19.7496</v>
      </c>
      <c r="I36" s="381">
        <f>ROUND(J4*G36,6)</f>
        <v>119.749639</v>
      </c>
      <c r="J36" s="387">
        <f t="shared" si="3"/>
        <v>119.749641</v>
      </c>
    </row>
    <row r="37" spans="2:10" ht="15">
      <c r="B37" s="374">
        <v>42401</v>
      </c>
      <c r="C37" s="375">
        <v>33</v>
      </c>
      <c r="D37" s="397"/>
      <c r="E37" s="384">
        <v>100</v>
      </c>
      <c r="F37" s="385">
        <f t="shared" si="4"/>
        <v>1</v>
      </c>
      <c r="G37" s="385">
        <f t="shared" si="5"/>
        <v>1.1974963866</v>
      </c>
      <c r="H37" s="386">
        <f t="shared" si="1"/>
        <v>19.7496</v>
      </c>
      <c r="I37" s="381">
        <f>ROUND(J4*G37,6)</f>
        <v>119.749639</v>
      </c>
      <c r="J37" s="387">
        <f t="shared" si="3"/>
        <v>119.749641</v>
      </c>
    </row>
    <row r="38" spans="2:10" ht="15">
      <c r="B38" s="374">
        <v>42430</v>
      </c>
      <c r="C38" s="383">
        <v>34</v>
      </c>
      <c r="D38" s="397"/>
      <c r="E38" s="384">
        <v>100</v>
      </c>
      <c r="F38" s="385">
        <f t="shared" si="4"/>
        <v>1</v>
      </c>
      <c r="G38" s="385">
        <f t="shared" si="5"/>
        <v>1.1974963866</v>
      </c>
      <c r="H38" s="386">
        <f t="shared" si="1"/>
        <v>19.7496</v>
      </c>
      <c r="I38" s="381">
        <f>ROUND(J4*G38,6)</f>
        <v>119.749639</v>
      </c>
      <c r="J38" s="387">
        <f t="shared" si="3"/>
        <v>119.749641</v>
      </c>
    </row>
    <row r="39" spans="2:10" ht="15">
      <c r="B39" s="374">
        <v>42461</v>
      </c>
      <c r="C39" s="375">
        <v>35</v>
      </c>
      <c r="D39" s="397"/>
      <c r="E39" s="384">
        <v>100</v>
      </c>
      <c r="F39" s="385">
        <f t="shared" si="4"/>
        <v>1</v>
      </c>
      <c r="G39" s="385">
        <f t="shared" si="5"/>
        <v>1.1974963866</v>
      </c>
      <c r="H39" s="386">
        <f t="shared" si="1"/>
        <v>19.7496</v>
      </c>
      <c r="I39" s="381">
        <f>ROUND(J4*G39,6)</f>
        <v>119.749639</v>
      </c>
      <c r="J39" s="387">
        <f t="shared" si="3"/>
        <v>119.749641</v>
      </c>
    </row>
    <row r="40" spans="2:10" ht="15">
      <c r="B40" s="374">
        <v>42491</v>
      </c>
      <c r="C40" s="389">
        <v>36</v>
      </c>
      <c r="D40" s="397"/>
      <c r="E40" s="390">
        <v>100</v>
      </c>
      <c r="F40" s="391">
        <f t="shared" si="4"/>
        <v>1</v>
      </c>
      <c r="G40" s="391">
        <f t="shared" si="5"/>
        <v>1.1974963866</v>
      </c>
      <c r="H40" s="388">
        <f t="shared" si="1"/>
        <v>19.7496</v>
      </c>
      <c r="I40" s="381">
        <f>ROUND(J4*G40,6)</f>
        <v>119.749639</v>
      </c>
      <c r="J40" s="387">
        <f t="shared" si="3"/>
        <v>119.749641</v>
      </c>
    </row>
    <row r="41" spans="2:10" ht="15">
      <c r="B41" s="374">
        <v>42522</v>
      </c>
      <c r="C41" s="375">
        <v>37</v>
      </c>
      <c r="D41" s="397"/>
      <c r="E41" s="384">
        <v>100</v>
      </c>
      <c r="F41" s="385">
        <f t="shared" si="4"/>
        <v>1</v>
      </c>
      <c r="G41" s="385">
        <f t="shared" si="5"/>
        <v>1.1974963866</v>
      </c>
      <c r="H41" s="386">
        <f t="shared" si="1"/>
        <v>19.7496</v>
      </c>
      <c r="I41" s="381">
        <f>ROUND(J4*G41,6)</f>
        <v>119.749639</v>
      </c>
      <c r="J41" s="387">
        <f t="shared" si="3"/>
        <v>119.749641</v>
      </c>
    </row>
    <row r="42" spans="2:10" ht="15">
      <c r="B42" s="374">
        <v>42552</v>
      </c>
      <c r="C42" s="383">
        <v>38</v>
      </c>
      <c r="D42" s="397"/>
      <c r="E42" s="384">
        <v>100</v>
      </c>
      <c r="F42" s="385">
        <f t="shared" si="4"/>
        <v>1</v>
      </c>
      <c r="G42" s="385">
        <f t="shared" si="5"/>
        <v>1.1974963866</v>
      </c>
      <c r="H42" s="386">
        <f t="shared" si="1"/>
        <v>19.7496</v>
      </c>
      <c r="I42" s="381">
        <f>ROUND(J4*G42,6)</f>
        <v>119.749639</v>
      </c>
      <c r="J42" s="387">
        <f t="shared" si="3"/>
        <v>119.749641</v>
      </c>
    </row>
    <row r="43" spans="2:10" ht="15">
      <c r="B43" s="374">
        <v>42583</v>
      </c>
      <c r="C43" s="375">
        <v>39</v>
      </c>
      <c r="D43" s="397"/>
      <c r="E43" s="384">
        <v>100</v>
      </c>
      <c r="F43" s="385">
        <f t="shared" si="4"/>
        <v>1</v>
      </c>
      <c r="G43" s="385">
        <f t="shared" si="5"/>
        <v>1.1974963866</v>
      </c>
      <c r="H43" s="386">
        <f t="shared" si="1"/>
        <v>19.7496</v>
      </c>
      <c r="I43" s="381">
        <f>ROUND(J4*G43,6)</f>
        <v>119.749639</v>
      </c>
      <c r="J43" s="387">
        <f t="shared" si="3"/>
        <v>119.749641</v>
      </c>
    </row>
    <row r="44" spans="2:10" ht="15">
      <c r="B44" s="374">
        <v>42614</v>
      </c>
      <c r="C44" s="383">
        <v>40</v>
      </c>
      <c r="D44" s="397"/>
      <c r="E44" s="384">
        <v>100</v>
      </c>
      <c r="F44" s="385">
        <f t="shared" si="4"/>
        <v>1</v>
      </c>
      <c r="G44" s="385">
        <f t="shared" si="5"/>
        <v>1.1974963866</v>
      </c>
      <c r="H44" s="386">
        <f t="shared" si="1"/>
        <v>19.7496</v>
      </c>
      <c r="I44" s="381">
        <f>ROUND(J4*G44,6)</f>
        <v>119.749639</v>
      </c>
      <c r="J44" s="387">
        <f t="shared" si="3"/>
        <v>119.749641</v>
      </c>
    </row>
    <row r="45" spans="2:10" ht="15">
      <c r="B45" s="374">
        <v>42644</v>
      </c>
      <c r="C45" s="375">
        <v>41</v>
      </c>
      <c r="D45" s="397"/>
      <c r="E45" s="384">
        <v>100</v>
      </c>
      <c r="F45" s="385">
        <f t="shared" si="4"/>
        <v>1</v>
      </c>
      <c r="G45" s="385">
        <f t="shared" si="5"/>
        <v>1.1974963866</v>
      </c>
      <c r="H45" s="386">
        <f t="shared" si="1"/>
        <v>19.7496</v>
      </c>
      <c r="I45" s="381">
        <f>ROUND(J4*G45,6)</f>
        <v>119.749639</v>
      </c>
      <c r="J45" s="387">
        <f t="shared" si="3"/>
        <v>119.749641</v>
      </c>
    </row>
    <row r="46" spans="2:10" ht="15">
      <c r="B46" s="374">
        <v>42675</v>
      </c>
      <c r="C46" s="383">
        <v>42</v>
      </c>
      <c r="D46" s="397"/>
      <c r="E46" s="384">
        <v>100</v>
      </c>
      <c r="F46" s="385">
        <f t="shared" si="4"/>
        <v>1</v>
      </c>
      <c r="G46" s="385">
        <f t="shared" si="5"/>
        <v>1.1974963866</v>
      </c>
      <c r="H46" s="386">
        <f t="shared" si="1"/>
        <v>19.7496</v>
      </c>
      <c r="I46" s="381">
        <f>ROUND(J4*G46,6)</f>
        <v>119.749639</v>
      </c>
      <c r="J46" s="387">
        <f t="shared" si="3"/>
        <v>119.749641</v>
      </c>
    </row>
    <row r="47" spans="2:10" ht="15">
      <c r="B47" s="374">
        <v>42705</v>
      </c>
      <c r="C47" s="375">
        <v>43</v>
      </c>
      <c r="D47" s="397"/>
      <c r="E47" s="384">
        <v>100</v>
      </c>
      <c r="F47" s="385">
        <f t="shared" si="4"/>
        <v>1</v>
      </c>
      <c r="G47" s="385">
        <f t="shared" si="5"/>
        <v>1.1974963866</v>
      </c>
      <c r="H47" s="386">
        <f t="shared" si="1"/>
        <v>19.7496</v>
      </c>
      <c r="I47" s="381">
        <f>ROUND(J4*G47,6)</f>
        <v>119.749639</v>
      </c>
      <c r="J47" s="387">
        <f t="shared" si="3"/>
        <v>119.749641</v>
      </c>
    </row>
    <row r="48" spans="2:10" ht="15">
      <c r="B48" s="374">
        <v>42736</v>
      </c>
      <c r="C48" s="383">
        <v>44</v>
      </c>
      <c r="D48" s="397"/>
      <c r="E48" s="384">
        <v>100</v>
      </c>
      <c r="F48" s="385">
        <f t="shared" si="4"/>
        <v>1</v>
      </c>
      <c r="G48" s="385">
        <f t="shared" si="5"/>
        <v>1.1974963866</v>
      </c>
      <c r="H48" s="386">
        <f t="shared" si="1"/>
        <v>19.7496</v>
      </c>
      <c r="I48" s="381">
        <f>ROUND(J4*G48,6)</f>
        <v>119.749639</v>
      </c>
      <c r="J48" s="387">
        <f t="shared" si="3"/>
        <v>119.749641</v>
      </c>
    </row>
    <row r="49" spans="2:10" ht="15">
      <c r="B49" s="374">
        <v>42767</v>
      </c>
      <c r="C49" s="375">
        <v>45</v>
      </c>
      <c r="D49" s="397"/>
      <c r="E49" s="384">
        <v>100</v>
      </c>
      <c r="F49" s="385">
        <f t="shared" si="4"/>
        <v>1</v>
      </c>
      <c r="G49" s="385">
        <f t="shared" si="5"/>
        <v>1.1974963866</v>
      </c>
      <c r="H49" s="386">
        <f t="shared" si="1"/>
        <v>19.7496</v>
      </c>
      <c r="I49" s="381">
        <f>ROUND(J4*G49,6)</f>
        <v>119.749639</v>
      </c>
      <c r="J49" s="387">
        <f t="shared" si="3"/>
        <v>119.749641</v>
      </c>
    </row>
    <row r="50" spans="2:10" ht="15">
      <c r="B50" s="374">
        <v>42795</v>
      </c>
      <c r="C50" s="383">
        <v>46</v>
      </c>
      <c r="D50" s="397"/>
      <c r="E50" s="384">
        <v>100</v>
      </c>
      <c r="F50" s="385">
        <f t="shared" si="4"/>
        <v>1</v>
      </c>
      <c r="G50" s="385">
        <f t="shared" si="5"/>
        <v>1.1974963866</v>
      </c>
      <c r="H50" s="386">
        <f t="shared" si="1"/>
        <v>19.7496</v>
      </c>
      <c r="I50" s="381">
        <f>ROUND(J4*G50,6)</f>
        <v>119.749639</v>
      </c>
      <c r="J50" s="387">
        <f t="shared" si="3"/>
        <v>119.749641</v>
      </c>
    </row>
    <row r="51" spans="2:10" ht="15">
      <c r="B51" s="374">
        <v>42826</v>
      </c>
      <c r="C51" s="375">
        <v>47</v>
      </c>
      <c r="D51" s="397"/>
      <c r="E51" s="384">
        <v>100</v>
      </c>
      <c r="F51" s="385">
        <f t="shared" si="4"/>
        <v>1</v>
      </c>
      <c r="G51" s="385">
        <f t="shared" si="5"/>
        <v>1.1974963866</v>
      </c>
      <c r="H51" s="386">
        <f t="shared" si="1"/>
        <v>19.7496</v>
      </c>
      <c r="I51" s="381">
        <f>ROUND(J4*G51,6)</f>
        <v>119.749639</v>
      </c>
      <c r="J51" s="387">
        <f t="shared" si="3"/>
        <v>119.749641</v>
      </c>
    </row>
    <row r="52" spans="2:10" ht="15">
      <c r="B52" s="374">
        <v>42856</v>
      </c>
      <c r="C52" s="389">
        <v>48</v>
      </c>
      <c r="D52" s="397"/>
      <c r="E52" s="390">
        <v>100</v>
      </c>
      <c r="F52" s="391">
        <f t="shared" si="4"/>
        <v>1</v>
      </c>
      <c r="G52" s="391">
        <f t="shared" si="5"/>
        <v>1.1974963866</v>
      </c>
      <c r="H52" s="388">
        <f t="shared" si="1"/>
        <v>19.7496</v>
      </c>
      <c r="I52" s="381">
        <f>ROUND(J4*G52,6)</f>
        <v>119.749639</v>
      </c>
      <c r="J52" s="387">
        <f t="shared" si="3"/>
        <v>119.749641</v>
      </c>
    </row>
    <row r="53" spans="2:10" ht="15">
      <c r="B53" s="374">
        <v>42887</v>
      </c>
      <c r="C53" s="375">
        <v>49</v>
      </c>
      <c r="D53" s="397"/>
      <c r="E53" s="384">
        <v>100</v>
      </c>
      <c r="F53" s="385">
        <f t="shared" si="4"/>
        <v>1</v>
      </c>
      <c r="G53" s="385">
        <f t="shared" si="5"/>
        <v>1.1974963866</v>
      </c>
      <c r="H53" s="386">
        <f t="shared" si="1"/>
        <v>19.7496</v>
      </c>
      <c r="I53" s="381">
        <f>ROUND(J4*G53,6)</f>
        <v>119.749639</v>
      </c>
      <c r="J53" s="387">
        <f t="shared" si="3"/>
        <v>119.749641</v>
      </c>
    </row>
    <row r="54" spans="2:10" ht="15">
      <c r="B54" s="374">
        <v>42917</v>
      </c>
      <c r="C54" s="383">
        <v>50</v>
      </c>
      <c r="D54" s="397"/>
      <c r="E54" s="384">
        <v>100</v>
      </c>
      <c r="F54" s="385">
        <f t="shared" si="4"/>
        <v>1</v>
      </c>
      <c r="G54" s="385">
        <f t="shared" si="5"/>
        <v>1.1974963866</v>
      </c>
      <c r="H54" s="386">
        <f t="shared" si="1"/>
        <v>19.7496</v>
      </c>
      <c r="I54" s="381">
        <f>ROUND(J4*G54,6)</f>
        <v>119.749639</v>
      </c>
      <c r="J54" s="387">
        <f t="shared" si="3"/>
        <v>119.749641</v>
      </c>
    </row>
    <row r="55" spans="2:10" ht="15">
      <c r="B55" s="374">
        <v>42948</v>
      </c>
      <c r="C55" s="375">
        <v>51</v>
      </c>
      <c r="D55" s="397"/>
      <c r="E55" s="384">
        <v>100</v>
      </c>
      <c r="F55" s="385">
        <f t="shared" si="4"/>
        <v>1</v>
      </c>
      <c r="G55" s="385">
        <f t="shared" si="5"/>
        <v>1.1974963866</v>
      </c>
      <c r="H55" s="386">
        <f t="shared" si="1"/>
        <v>19.7496</v>
      </c>
      <c r="I55" s="381">
        <f>ROUND(J4*G55,6)</f>
        <v>119.749639</v>
      </c>
      <c r="J55" s="387">
        <f t="shared" si="3"/>
        <v>119.749641</v>
      </c>
    </row>
    <row r="56" spans="2:10" ht="15">
      <c r="B56" s="374">
        <v>42979</v>
      </c>
      <c r="C56" s="383">
        <v>52</v>
      </c>
      <c r="D56" s="397"/>
      <c r="E56" s="384">
        <v>100</v>
      </c>
      <c r="F56" s="385">
        <f t="shared" si="4"/>
        <v>1</v>
      </c>
      <c r="G56" s="385">
        <f t="shared" si="5"/>
        <v>1.1974963866</v>
      </c>
      <c r="H56" s="386">
        <f t="shared" si="1"/>
        <v>19.7496</v>
      </c>
      <c r="I56" s="381">
        <f>ROUND(J4*G56,6)</f>
        <v>119.749639</v>
      </c>
      <c r="J56" s="387">
        <f t="shared" si="3"/>
        <v>119.749641</v>
      </c>
    </row>
    <row r="57" spans="2:10" ht="15">
      <c r="B57" s="374">
        <v>43009</v>
      </c>
      <c r="C57" s="375">
        <v>53</v>
      </c>
      <c r="D57" s="397"/>
      <c r="E57" s="384">
        <v>100</v>
      </c>
      <c r="F57" s="385">
        <f t="shared" si="4"/>
        <v>1</v>
      </c>
      <c r="G57" s="385">
        <f t="shared" si="5"/>
        <v>1.1974963866</v>
      </c>
      <c r="H57" s="386">
        <f t="shared" si="1"/>
        <v>19.7496</v>
      </c>
      <c r="I57" s="381">
        <f>ROUND(J4*G57,6)</f>
        <v>119.749639</v>
      </c>
      <c r="J57" s="387">
        <f t="shared" si="3"/>
        <v>119.749641</v>
      </c>
    </row>
    <row r="58" spans="2:10" ht="15">
      <c r="B58" s="374">
        <v>43040</v>
      </c>
      <c r="C58" s="383">
        <v>54</v>
      </c>
      <c r="D58" s="397"/>
      <c r="E58" s="384">
        <v>100</v>
      </c>
      <c r="F58" s="385">
        <f t="shared" si="4"/>
        <v>1</v>
      </c>
      <c r="G58" s="385">
        <f t="shared" si="5"/>
        <v>1.1974963866</v>
      </c>
      <c r="H58" s="386">
        <f t="shared" si="1"/>
        <v>19.7496</v>
      </c>
      <c r="I58" s="381">
        <f>ROUND(J4*G58,6)</f>
        <v>119.749639</v>
      </c>
      <c r="J58" s="387">
        <f t="shared" si="3"/>
        <v>119.749641</v>
      </c>
    </row>
    <row r="59" spans="2:10" ht="15">
      <c r="B59" s="374">
        <v>43070</v>
      </c>
      <c r="C59" s="375">
        <v>55</v>
      </c>
      <c r="D59" s="397"/>
      <c r="E59" s="384">
        <v>100</v>
      </c>
      <c r="F59" s="385">
        <f t="shared" si="4"/>
        <v>1</v>
      </c>
      <c r="G59" s="385">
        <f t="shared" si="5"/>
        <v>1.1974963866</v>
      </c>
      <c r="H59" s="386">
        <f t="shared" si="1"/>
        <v>19.7496</v>
      </c>
      <c r="I59" s="381">
        <f>ROUND(J4*G59,6)</f>
        <v>119.749639</v>
      </c>
      <c r="J59" s="387">
        <f t="shared" si="3"/>
        <v>119.749641</v>
      </c>
    </row>
    <row r="64" spans="1:5" ht="15">
      <c r="A64" s="398">
        <v>41426</v>
      </c>
      <c r="B64" s="376">
        <v>0.75</v>
      </c>
      <c r="C64" s="376">
        <v>1.751</v>
      </c>
      <c r="D64" s="376">
        <v>6.311</v>
      </c>
      <c r="E64" s="399">
        <v>1249.3299</v>
      </c>
    </row>
    <row r="65" spans="1:5" ht="15">
      <c r="A65" s="398">
        <v>41456</v>
      </c>
      <c r="B65" s="376">
        <v>0.26</v>
      </c>
      <c r="C65" s="376">
        <v>2.0156</v>
      </c>
      <c r="D65" s="376">
        <v>5.178</v>
      </c>
      <c r="E65" s="399">
        <v>1252.5781</v>
      </c>
    </row>
    <row r="66" spans="1:5" ht="15">
      <c r="A66" s="398">
        <v>41487</v>
      </c>
      <c r="B66" s="376">
        <v>0.15</v>
      </c>
      <c r="C66" s="376">
        <v>2.1686</v>
      </c>
      <c r="D66" s="376">
        <v>3.8507</v>
      </c>
      <c r="E66" s="399">
        <v>1254.457</v>
      </c>
    </row>
    <row r="67" spans="1:5" ht="15">
      <c r="A67" s="398">
        <v>41518</v>
      </c>
      <c r="B67" s="376">
        <v>1.5</v>
      </c>
      <c r="C67" s="376">
        <v>3.7011</v>
      </c>
      <c r="D67" s="376">
        <v>4.3959</v>
      </c>
      <c r="E67" s="399">
        <v>1273.2738</v>
      </c>
    </row>
    <row r="68" spans="1:5" ht="15">
      <c r="A68" s="398">
        <v>41548</v>
      </c>
      <c r="B68" s="376">
        <v>0.86</v>
      </c>
      <c r="C68" s="376">
        <v>4.593</v>
      </c>
      <c r="D68" s="376">
        <v>5.2726</v>
      </c>
      <c r="E68" s="399">
        <v>1284.224</v>
      </c>
    </row>
    <row r="69" spans="1:5" ht="15">
      <c r="A69" s="398">
        <v>41579</v>
      </c>
      <c r="B69" s="376">
        <v>0.29</v>
      </c>
      <c r="C69" s="376">
        <v>4.8963</v>
      </c>
      <c r="D69" s="376">
        <v>5.6096</v>
      </c>
      <c r="E69" s="399">
        <v>1287.9482</v>
      </c>
    </row>
    <row r="70" spans="1:5" ht="15">
      <c r="A70" s="398">
        <v>41609</v>
      </c>
      <c r="B70" s="376">
        <v>0.6</v>
      </c>
      <c r="C70" s="376">
        <v>5.5257</v>
      </c>
      <c r="D70" s="376">
        <v>5.5257</v>
      </c>
      <c r="E70" s="399">
        <v>1295.6759</v>
      </c>
    </row>
    <row r="71" spans="1:5" ht="15">
      <c r="A71" s="398">
        <v>41640</v>
      </c>
      <c r="B71" s="376">
        <v>0.48</v>
      </c>
      <c r="C71" s="376">
        <v>0.48</v>
      </c>
      <c r="D71" s="376">
        <v>5.6729</v>
      </c>
      <c r="E71" s="399">
        <v>1301.8952</v>
      </c>
    </row>
    <row r="72" spans="1:5" ht="15">
      <c r="A72" s="398">
        <v>41671</v>
      </c>
      <c r="B72" s="376">
        <v>0.38</v>
      </c>
      <c r="C72" s="376">
        <v>0.8618</v>
      </c>
      <c r="D72" s="376">
        <v>5.7677</v>
      </c>
      <c r="E72" s="399">
        <v>1306.8424</v>
      </c>
    </row>
    <row r="73" spans="1:5" ht="15">
      <c r="A73" s="398">
        <v>41699</v>
      </c>
      <c r="B73" s="376">
        <v>1.67</v>
      </c>
      <c r="C73" s="376">
        <v>2.5462</v>
      </c>
      <c r="D73" s="376">
        <v>7.3087</v>
      </c>
      <c r="E73" s="399">
        <v>1328.6666</v>
      </c>
    </row>
    <row r="74" spans="1:5" ht="15">
      <c r="A74" s="398">
        <v>41730</v>
      </c>
      <c r="B74" s="376">
        <v>0.78</v>
      </c>
      <c r="C74" s="376">
        <v>3.3461</v>
      </c>
      <c r="D74" s="376">
        <v>7.9837</v>
      </c>
      <c r="E74" s="399">
        <v>1339.0302</v>
      </c>
    </row>
    <row r="75" spans="1:5" ht="15">
      <c r="A75" s="398">
        <v>41760</v>
      </c>
      <c r="B75" s="376">
        <v>-0.13</v>
      </c>
      <c r="C75" s="376">
        <v>3.2117</v>
      </c>
      <c r="D75" s="376">
        <v>7.8434</v>
      </c>
      <c r="E75" s="399">
        <v>1337.2895</v>
      </c>
    </row>
    <row r="76" spans="1:5" ht="15">
      <c r="A76" s="398">
        <v>41791</v>
      </c>
      <c r="B76" s="376">
        <v>-0.74</v>
      </c>
      <c r="C76" s="376">
        <v>2.448</v>
      </c>
      <c r="D76" s="376">
        <v>6.2484</v>
      </c>
      <c r="E76" s="399">
        <v>1327.3936</v>
      </c>
    </row>
    <row r="77" spans="1:5" ht="15">
      <c r="A77" s="398">
        <v>41821</v>
      </c>
      <c r="B77" s="376">
        <v>-0.61</v>
      </c>
      <c r="C77" s="376">
        <v>1.823</v>
      </c>
      <c r="D77" s="376">
        <v>5.3265</v>
      </c>
      <c r="E77" s="399">
        <v>1319.2965</v>
      </c>
    </row>
    <row r="78" spans="1:5" ht="15">
      <c r="A78" s="398">
        <v>41852</v>
      </c>
      <c r="B78" s="376">
        <v>-0.27</v>
      </c>
      <c r="C78" s="376">
        <v>1.5481</v>
      </c>
      <c r="D78" s="376">
        <v>4.8848</v>
      </c>
      <c r="E78" s="399">
        <v>1315.7344</v>
      </c>
    </row>
    <row r="79" spans="1:5" ht="15">
      <c r="A79" s="398">
        <v>41883</v>
      </c>
      <c r="B79" s="376">
        <v>0.2</v>
      </c>
      <c r="C79" s="376">
        <v>1.7512</v>
      </c>
      <c r="D79" s="376">
        <v>3.5414</v>
      </c>
      <c r="E79" s="399">
        <v>1318.3658</v>
      </c>
    </row>
    <row r="80" spans="1:5" ht="15">
      <c r="A80" s="398">
        <v>41913</v>
      </c>
      <c r="B80" s="376">
        <v>0.28</v>
      </c>
      <c r="C80" s="376">
        <v>2.0361</v>
      </c>
      <c r="D80" s="376">
        <v>2.946</v>
      </c>
      <c r="E80" s="399">
        <v>1322.0573</v>
      </c>
    </row>
    <row r="81" spans="1:5" ht="15">
      <c r="A81" s="398">
        <v>41944</v>
      </c>
      <c r="B81" s="376">
        <v>0.98</v>
      </c>
      <c r="C81" s="376">
        <v>3.0361</v>
      </c>
      <c r="D81" s="376">
        <v>3.6543</v>
      </c>
      <c r="E81" s="399">
        <v>1335.0134</v>
      </c>
    </row>
    <row r="82" spans="1:5" ht="15">
      <c r="A82" s="398">
        <v>41974</v>
      </c>
      <c r="B82" s="376">
        <v>0.62</v>
      </c>
      <c r="C82" s="376">
        <v>3.6749</v>
      </c>
      <c r="D82" s="376">
        <v>3.6749</v>
      </c>
      <c r="E82" s="399">
        <v>1343.2905</v>
      </c>
    </row>
    <row r="83" spans="1:5" ht="15">
      <c r="A83" s="398">
        <v>42005</v>
      </c>
      <c r="B83" s="376">
        <v>0.76</v>
      </c>
      <c r="C83" s="376">
        <v>0.76</v>
      </c>
      <c r="D83" s="376">
        <v>3.9638</v>
      </c>
      <c r="E83" s="399">
        <v>1353.4995</v>
      </c>
    </row>
    <row r="84" spans="1:5" ht="15">
      <c r="A84" s="398">
        <v>42036</v>
      </c>
      <c r="B84" s="376">
        <v>0.27</v>
      </c>
      <c r="C84" s="376">
        <v>1.0321</v>
      </c>
      <c r="D84" s="376">
        <v>3.8499</v>
      </c>
      <c r="E84" s="399">
        <v>1357.154</v>
      </c>
    </row>
    <row r="85" spans="1:5" ht="15">
      <c r="A85" s="398">
        <v>42064</v>
      </c>
      <c r="B85" s="376">
        <v>0.98</v>
      </c>
      <c r="C85" s="376">
        <v>2.0222</v>
      </c>
      <c r="D85" s="376">
        <v>3.145</v>
      </c>
      <c r="E85" s="399">
        <v>1370.4541</v>
      </c>
    </row>
    <row r="86" spans="1:5" ht="15">
      <c r="A86" s="398">
        <v>42095</v>
      </c>
      <c r="B86" s="376">
        <v>1.17</v>
      </c>
      <c r="C86" s="376">
        <v>3.2158</v>
      </c>
      <c r="D86" s="376">
        <v>3.5442</v>
      </c>
      <c r="E86" s="399">
        <v>1386.4884</v>
      </c>
    </row>
    <row r="87" spans="1:5" ht="15">
      <c r="A87" s="398">
        <v>42125</v>
      </c>
      <c r="B87" s="376">
        <v>0.41</v>
      </c>
      <c r="C87" s="376">
        <v>3.639</v>
      </c>
      <c r="D87" s="376">
        <v>4.1041</v>
      </c>
      <c r="E87" s="399">
        <v>1392.173</v>
      </c>
    </row>
    <row r="88" spans="1:5" ht="15">
      <c r="A88" s="398">
        <v>42156</v>
      </c>
      <c r="B88" s="376">
        <v>0.67</v>
      </c>
      <c r="C88" s="376">
        <v>4.3334</v>
      </c>
      <c r="D88" s="376">
        <v>5.5829</v>
      </c>
      <c r="E88" s="399">
        <v>1401.5005</v>
      </c>
    </row>
    <row r="89" spans="1:5" ht="15">
      <c r="A89" s="398">
        <v>42186</v>
      </c>
      <c r="B89" s="376">
        <v>0.69</v>
      </c>
      <c r="C89" s="376">
        <v>5.0533</v>
      </c>
      <c r="D89" s="376">
        <v>6.9639</v>
      </c>
      <c r="E89" s="399">
        <v>1411.1709</v>
      </c>
    </row>
    <row r="90" spans="1:5" ht="15">
      <c r="A90" s="398">
        <v>42217</v>
      </c>
      <c r="B90" s="376">
        <v>0.28</v>
      </c>
      <c r="C90" s="376">
        <v>5.3474</v>
      </c>
      <c r="D90" s="376">
        <v>7.5538</v>
      </c>
      <c r="E90" s="399">
        <v>1415.1222</v>
      </c>
    </row>
    <row r="91" spans="1:5" ht="15">
      <c r="A91" s="398">
        <v>42248</v>
      </c>
      <c r="B91" s="376">
        <v>0.95</v>
      </c>
      <c r="C91" s="376">
        <v>6.3482</v>
      </c>
      <c r="D91" s="376">
        <v>8.3588</v>
      </c>
      <c r="E91" s="399">
        <v>1428.5658</v>
      </c>
    </row>
    <row r="92" spans="1:5" ht="15">
      <c r="A92" s="398">
        <v>42278</v>
      </c>
      <c r="B92" s="376">
        <v>1.89</v>
      </c>
      <c r="C92" s="376">
        <v>8.3582</v>
      </c>
      <c r="D92" s="376">
        <v>10.0985</v>
      </c>
      <c r="E92" s="399">
        <v>1455.5657</v>
      </c>
    </row>
    <row r="93" spans="1:5" ht="15">
      <c r="A93" s="398">
        <v>42309</v>
      </c>
      <c r="B93" s="376">
        <v>1.52</v>
      </c>
      <c r="C93" s="376">
        <v>10.0053</v>
      </c>
      <c r="D93" s="376">
        <v>10.6873</v>
      </c>
      <c r="E93" s="399">
        <v>1477.6902</v>
      </c>
    </row>
    <row r="94" spans="1:5" ht="15">
      <c r="A94" s="398">
        <v>42339</v>
      </c>
      <c r="B94" s="376">
        <v>0.49</v>
      </c>
      <c r="C94" s="376">
        <v>10.5443</v>
      </c>
      <c r="D94" s="376">
        <v>10.5443</v>
      </c>
      <c r="E94" s="399">
        <v>1484.9309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42"/>
  <sheetViews>
    <sheetView zoomScalePageLayoutView="0" workbookViewId="0" topLeftCell="A85">
      <selection activeCell="E111" sqref="E111"/>
    </sheetView>
  </sheetViews>
  <sheetFormatPr defaultColWidth="9.140625" defaultRowHeight="15"/>
  <cols>
    <col min="1" max="1" width="20.57421875" style="0" customWidth="1"/>
    <col min="2" max="2" width="11.00390625" style="0" customWidth="1"/>
    <col min="3" max="3" width="8.57421875" style="0" customWidth="1"/>
    <col min="4" max="4" width="13.57421875" style="0" customWidth="1"/>
    <col min="5" max="5" width="15.00390625" style="0" customWidth="1"/>
    <col min="6" max="6" width="9.140625" style="0" customWidth="1"/>
    <col min="7" max="7" width="6.8515625" style="0" customWidth="1"/>
    <col min="8" max="8" width="15.57421875" style="0" customWidth="1"/>
    <col min="9" max="9" width="9.28125" style="0" bestFit="1" customWidth="1"/>
    <col min="10" max="10" width="10.421875" style="0" customWidth="1"/>
    <col min="11" max="11" width="10.8515625" style="0" bestFit="1" customWidth="1"/>
    <col min="12" max="12" width="9.28125" style="0" bestFit="1" customWidth="1"/>
    <col min="13" max="13" width="12.00390625" style="0" bestFit="1" customWidth="1"/>
    <col min="14" max="14" width="9.28125" style="0" bestFit="1" customWidth="1"/>
  </cols>
  <sheetData>
    <row r="2" spans="1:3" ht="15">
      <c r="A2" t="s">
        <v>0</v>
      </c>
      <c r="C2" t="s">
        <v>1</v>
      </c>
    </row>
    <row r="3" spans="8:27" ht="15">
      <c r="H3" s="2" t="s">
        <v>26</v>
      </c>
      <c r="I3" s="2" t="s">
        <v>27</v>
      </c>
      <c r="J3" s="2" t="s">
        <v>28</v>
      </c>
      <c r="K3" s="2"/>
      <c r="L3" s="2"/>
      <c r="M3" s="2"/>
      <c r="N3" s="2" t="s">
        <v>29</v>
      </c>
      <c r="O3" s="2"/>
      <c r="P3" s="2"/>
      <c r="Q3" s="2" t="s">
        <v>30</v>
      </c>
      <c r="R3" s="2" t="s">
        <v>30</v>
      </c>
      <c r="S3" s="2" t="s">
        <v>31</v>
      </c>
      <c r="T3" s="2" t="s">
        <v>31</v>
      </c>
      <c r="U3" s="2" t="s">
        <v>32</v>
      </c>
      <c r="V3" s="2" t="s">
        <v>32</v>
      </c>
      <c r="W3" s="2"/>
      <c r="X3" s="2"/>
      <c r="Y3" s="2"/>
      <c r="Z3" s="2"/>
      <c r="AA3" s="2"/>
    </row>
    <row r="4" spans="1:2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" t="s">
        <v>25</v>
      </c>
      <c r="H4" s="2"/>
      <c r="I4" s="2"/>
      <c r="J4" s="2" t="s">
        <v>33</v>
      </c>
      <c r="K4" s="2" t="s">
        <v>34</v>
      </c>
      <c r="L4" s="2" t="s">
        <v>35</v>
      </c>
      <c r="M4" s="2" t="s">
        <v>36</v>
      </c>
      <c r="N4" s="2" t="s">
        <v>33</v>
      </c>
      <c r="O4" s="2" t="s">
        <v>34</v>
      </c>
      <c r="P4" s="2" t="s">
        <v>35</v>
      </c>
      <c r="Q4" s="2" t="s">
        <v>33</v>
      </c>
      <c r="R4" s="2" t="s">
        <v>37</v>
      </c>
      <c r="S4" s="2" t="s">
        <v>38</v>
      </c>
      <c r="T4" s="2" t="s">
        <v>39</v>
      </c>
      <c r="U4" s="2" t="s">
        <v>38</v>
      </c>
      <c r="V4" s="2" t="s">
        <v>96</v>
      </c>
      <c r="W4" s="2" t="s">
        <v>38</v>
      </c>
      <c r="X4" s="2" t="s">
        <v>40</v>
      </c>
      <c r="Y4" s="2" t="s">
        <v>41</v>
      </c>
      <c r="Z4" s="2" t="s">
        <v>42</v>
      </c>
      <c r="AA4" s="2" t="s">
        <v>43</v>
      </c>
    </row>
    <row r="5" spans="1:27" ht="15">
      <c r="A5" s="2" t="s">
        <v>1</v>
      </c>
      <c r="B5" s="2" t="s">
        <v>8</v>
      </c>
      <c r="C5" s="2">
        <v>1</v>
      </c>
      <c r="D5" s="2">
        <v>41.14</v>
      </c>
      <c r="E5" s="2">
        <v>2004</v>
      </c>
      <c r="F5" s="2" t="s">
        <v>9</v>
      </c>
      <c r="G5" s="2">
        <v>12</v>
      </c>
      <c r="H5" s="2">
        <v>41.14</v>
      </c>
      <c r="I5" s="2">
        <v>41.14</v>
      </c>
      <c r="J5" s="2">
        <v>41.14</v>
      </c>
      <c r="K5" s="2">
        <v>41.14</v>
      </c>
      <c r="L5" s="2">
        <v>41.14</v>
      </c>
      <c r="M5" s="2">
        <v>0</v>
      </c>
      <c r="N5" s="2">
        <v>41.14</v>
      </c>
      <c r="O5" s="2">
        <v>41.14</v>
      </c>
      <c r="P5" s="2">
        <v>0</v>
      </c>
      <c r="Q5" s="2">
        <v>41.14</v>
      </c>
      <c r="R5" s="2">
        <v>0</v>
      </c>
      <c r="S5" s="2">
        <v>41.14</v>
      </c>
      <c r="T5" s="2"/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</row>
    <row r="6" spans="1:27" ht="15">
      <c r="A6" s="2" t="s">
        <v>1</v>
      </c>
      <c r="B6" s="2" t="s">
        <v>8</v>
      </c>
      <c r="C6" s="2">
        <v>2</v>
      </c>
      <c r="D6" s="2">
        <v>33.92</v>
      </c>
      <c r="E6" s="2">
        <v>2004</v>
      </c>
      <c r="F6" s="2" t="s">
        <v>9</v>
      </c>
      <c r="G6" s="2">
        <v>12</v>
      </c>
      <c r="H6" s="2">
        <v>33.92</v>
      </c>
      <c r="I6" s="2">
        <v>33.92</v>
      </c>
      <c r="J6" s="2">
        <v>33.92</v>
      </c>
      <c r="K6" s="2">
        <v>33.92</v>
      </c>
      <c r="L6" s="2">
        <v>33.92</v>
      </c>
      <c r="M6" s="2">
        <v>0</v>
      </c>
      <c r="N6" s="2">
        <v>33.92</v>
      </c>
      <c r="O6" s="2">
        <v>33.92</v>
      </c>
      <c r="P6" s="2">
        <v>0</v>
      </c>
      <c r="Q6" s="2">
        <v>33.92</v>
      </c>
      <c r="R6" s="2">
        <v>0</v>
      </c>
      <c r="S6" s="2">
        <v>33.92</v>
      </c>
      <c r="T6" s="2"/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ht="15">
      <c r="A7" s="2" t="s">
        <v>1</v>
      </c>
      <c r="B7" s="2" t="s">
        <v>8</v>
      </c>
      <c r="C7" s="2">
        <v>3</v>
      </c>
      <c r="D7" s="2">
        <v>23.82</v>
      </c>
      <c r="E7" s="2">
        <v>2004</v>
      </c>
      <c r="F7" s="2" t="s">
        <v>9</v>
      </c>
      <c r="G7" s="2">
        <v>12</v>
      </c>
      <c r="H7" s="2">
        <v>23.82</v>
      </c>
      <c r="I7" s="2">
        <v>23.82</v>
      </c>
      <c r="J7" s="2">
        <v>23.82</v>
      </c>
      <c r="K7" s="2">
        <v>23.82</v>
      </c>
      <c r="L7" s="2">
        <v>23.82</v>
      </c>
      <c r="M7" s="2">
        <v>0</v>
      </c>
      <c r="N7" s="2">
        <v>23.82</v>
      </c>
      <c r="O7" s="2">
        <v>23.82</v>
      </c>
      <c r="P7" s="2">
        <v>0</v>
      </c>
      <c r="Q7" s="2">
        <v>23.82</v>
      </c>
      <c r="R7" s="2">
        <v>0</v>
      </c>
      <c r="S7" s="2">
        <v>23.82</v>
      </c>
      <c r="T7" s="2"/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ht="15">
      <c r="A8" s="2" t="s">
        <v>1</v>
      </c>
      <c r="B8" s="2" t="s">
        <v>8</v>
      </c>
      <c r="C8" s="2">
        <v>4</v>
      </c>
      <c r="D8" s="2">
        <v>19.74</v>
      </c>
      <c r="E8" s="2">
        <v>2004</v>
      </c>
      <c r="F8" s="2" t="s">
        <v>9</v>
      </c>
      <c r="G8" s="2">
        <v>12</v>
      </c>
      <c r="H8" s="2">
        <v>19.74</v>
      </c>
      <c r="I8" s="2">
        <v>19.74</v>
      </c>
      <c r="J8" s="2">
        <v>19.74</v>
      </c>
      <c r="K8" s="2">
        <v>19.74</v>
      </c>
      <c r="L8" s="2">
        <v>19.74</v>
      </c>
      <c r="M8" s="2">
        <v>0</v>
      </c>
      <c r="N8" s="2">
        <v>19.74</v>
      </c>
      <c r="O8" s="2">
        <v>19.74</v>
      </c>
      <c r="P8" s="2">
        <v>0</v>
      </c>
      <c r="Q8" s="2">
        <v>19.74</v>
      </c>
      <c r="R8" s="2">
        <v>0</v>
      </c>
      <c r="S8" s="2">
        <v>19.74</v>
      </c>
      <c r="T8" s="2"/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15">
      <c r="A9" s="2" t="s">
        <v>1</v>
      </c>
      <c r="B9" s="2" t="s">
        <v>8</v>
      </c>
      <c r="C9" s="2">
        <v>5</v>
      </c>
      <c r="D9" s="2">
        <v>12.14</v>
      </c>
      <c r="E9" s="2">
        <v>2008</v>
      </c>
      <c r="F9" s="2" t="s">
        <v>9</v>
      </c>
      <c r="G9" s="2">
        <v>8</v>
      </c>
      <c r="H9" s="2">
        <v>12.14</v>
      </c>
      <c r="I9" s="2">
        <v>12.14</v>
      </c>
      <c r="J9" s="2">
        <v>12.14</v>
      </c>
      <c r="K9" s="2">
        <v>12.14</v>
      </c>
      <c r="L9" s="2">
        <v>12.14</v>
      </c>
      <c r="M9" s="2">
        <v>0</v>
      </c>
      <c r="N9" s="2">
        <v>12.14</v>
      </c>
      <c r="O9" s="2">
        <v>12.14</v>
      </c>
      <c r="P9" s="2">
        <v>0</v>
      </c>
      <c r="Q9" s="2">
        <v>12.14</v>
      </c>
      <c r="R9" s="2">
        <v>0</v>
      </c>
      <c r="S9" s="2">
        <v>12.14</v>
      </c>
      <c r="T9" s="2"/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</row>
    <row r="10" spans="1:27" ht="15">
      <c r="A10" s="2" t="s">
        <v>1</v>
      </c>
      <c r="B10" s="2" t="s">
        <v>8</v>
      </c>
      <c r="C10" s="2">
        <v>6</v>
      </c>
      <c r="D10" s="2">
        <v>7.49</v>
      </c>
      <c r="E10" s="2">
        <v>2008</v>
      </c>
      <c r="F10" s="2" t="s">
        <v>9</v>
      </c>
      <c r="G10" s="2">
        <v>8</v>
      </c>
      <c r="H10" s="2">
        <v>7.49</v>
      </c>
      <c r="I10" s="2">
        <v>7.49</v>
      </c>
      <c r="J10" s="2">
        <v>7.49</v>
      </c>
      <c r="K10" s="2">
        <v>7.49</v>
      </c>
      <c r="L10" s="2">
        <v>7.49</v>
      </c>
      <c r="M10" s="2">
        <v>0</v>
      </c>
      <c r="N10" s="2">
        <v>7.49</v>
      </c>
      <c r="O10" s="2">
        <v>7.49</v>
      </c>
      <c r="P10" s="2">
        <v>0</v>
      </c>
      <c r="Q10" s="2">
        <v>7.49</v>
      </c>
      <c r="R10" s="2">
        <v>0</v>
      </c>
      <c r="S10" s="2">
        <v>7.49</v>
      </c>
      <c r="T10" s="2"/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ht="15">
      <c r="A11" s="2"/>
      <c r="B11" s="2"/>
      <c r="C11" s="2"/>
      <c r="D11" s="2">
        <f>SUM(D5:D10)</f>
        <v>138.25</v>
      </c>
      <c r="E11" s="2"/>
      <c r="F11" s="2"/>
      <c r="G11" s="2"/>
      <c r="H11" s="2">
        <f aca="true" t="shared" si="0" ref="H11:AA11">SUM(H5:H10)</f>
        <v>138.25</v>
      </c>
      <c r="I11" s="2">
        <f t="shared" si="0"/>
        <v>138.25</v>
      </c>
      <c r="J11" s="2">
        <f t="shared" si="0"/>
        <v>138.25</v>
      </c>
      <c r="K11" s="2">
        <f t="shared" si="0"/>
        <v>138.25</v>
      </c>
      <c r="L11" s="2">
        <f t="shared" si="0"/>
        <v>138.25</v>
      </c>
      <c r="M11" s="2">
        <f t="shared" si="0"/>
        <v>0</v>
      </c>
      <c r="N11" s="2">
        <f t="shared" si="0"/>
        <v>138.25</v>
      </c>
      <c r="O11" s="2">
        <f t="shared" si="0"/>
        <v>138.25</v>
      </c>
      <c r="P11" s="2">
        <f t="shared" si="0"/>
        <v>0</v>
      </c>
      <c r="Q11" s="2">
        <f t="shared" si="0"/>
        <v>138.25</v>
      </c>
      <c r="R11" s="2">
        <f t="shared" si="0"/>
        <v>0</v>
      </c>
      <c r="S11" s="2">
        <f t="shared" si="0"/>
        <v>138.25</v>
      </c>
      <c r="T11" s="2"/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  <c r="AA11" s="2">
        <f t="shared" si="0"/>
        <v>0</v>
      </c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3" ht="15">
      <c r="A13" t="s">
        <v>0</v>
      </c>
      <c r="C13" t="s">
        <v>10</v>
      </c>
    </row>
    <row r="14" spans="8:27" ht="15">
      <c r="H14" s="2" t="s">
        <v>26</v>
      </c>
      <c r="I14" s="2" t="s">
        <v>27</v>
      </c>
      <c r="J14" s="2" t="s">
        <v>28</v>
      </c>
      <c r="K14" s="2"/>
      <c r="L14" s="2"/>
      <c r="M14" s="2"/>
      <c r="N14" s="2" t="s">
        <v>29</v>
      </c>
      <c r="O14" s="2"/>
      <c r="P14" s="2"/>
      <c r="Q14" s="2" t="s">
        <v>30</v>
      </c>
      <c r="R14" s="2" t="s">
        <v>30</v>
      </c>
      <c r="S14" s="2" t="s">
        <v>31</v>
      </c>
      <c r="T14" s="2"/>
      <c r="U14" s="2" t="s">
        <v>32</v>
      </c>
      <c r="V14" s="2" t="s">
        <v>32</v>
      </c>
      <c r="W14" s="2"/>
      <c r="X14" s="2"/>
      <c r="Y14" s="2"/>
      <c r="Z14" s="2"/>
      <c r="AA14" s="2"/>
    </row>
    <row r="15" spans="1:27" ht="15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1" t="s">
        <v>25</v>
      </c>
      <c r="H15" s="2"/>
      <c r="I15" s="2"/>
      <c r="J15" s="2" t="s">
        <v>33</v>
      </c>
      <c r="K15" s="2" t="s">
        <v>34</v>
      </c>
      <c r="L15" s="2" t="s">
        <v>35</v>
      </c>
      <c r="M15" s="2" t="s">
        <v>36</v>
      </c>
      <c r="N15" s="2" t="s">
        <v>33</v>
      </c>
      <c r="O15" s="2" t="s">
        <v>34</v>
      </c>
      <c r="P15" s="2" t="s">
        <v>35</v>
      </c>
      <c r="Q15" s="2" t="s">
        <v>33</v>
      </c>
      <c r="R15" s="2" t="s">
        <v>37</v>
      </c>
      <c r="S15" s="2" t="s">
        <v>38</v>
      </c>
      <c r="T15" s="2"/>
      <c r="U15" s="2" t="s">
        <v>38</v>
      </c>
      <c r="V15" s="2" t="s">
        <v>39</v>
      </c>
      <c r="W15" s="2" t="s">
        <v>38</v>
      </c>
      <c r="X15" s="2" t="s">
        <v>40</v>
      </c>
      <c r="Y15" s="2" t="s">
        <v>41</v>
      </c>
      <c r="Z15" s="2" t="s">
        <v>42</v>
      </c>
      <c r="AA15" s="2" t="s">
        <v>43</v>
      </c>
    </row>
    <row r="16" spans="1:27" ht="15">
      <c r="A16" s="2" t="s">
        <v>10</v>
      </c>
      <c r="B16" s="2" t="s">
        <v>8</v>
      </c>
      <c r="C16" s="2">
        <v>1</v>
      </c>
      <c r="D16" s="2">
        <v>21.59</v>
      </c>
      <c r="E16" s="2">
        <v>2006</v>
      </c>
      <c r="F16" s="2" t="s">
        <v>9</v>
      </c>
      <c r="G16" s="2">
        <v>10</v>
      </c>
      <c r="H16" s="2">
        <v>21.59</v>
      </c>
      <c r="I16" s="2">
        <v>21.59</v>
      </c>
      <c r="J16" s="2">
        <v>21.59</v>
      </c>
      <c r="K16" s="2">
        <v>21.59</v>
      </c>
      <c r="L16" s="2">
        <v>21.59</v>
      </c>
      <c r="M16" s="2">
        <v>0</v>
      </c>
      <c r="N16" s="2">
        <v>21.59</v>
      </c>
      <c r="O16" s="2">
        <v>21.59</v>
      </c>
      <c r="P16" s="2">
        <v>0</v>
      </c>
      <c r="Q16" s="2">
        <v>21.59</v>
      </c>
      <c r="R16" s="2">
        <v>0</v>
      </c>
      <c r="S16" s="2">
        <v>21.59</v>
      </c>
      <c r="T16" s="2"/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</row>
    <row r="17" spans="1:27" ht="15">
      <c r="A17" s="2" t="s">
        <v>10</v>
      </c>
      <c r="B17" s="2" t="s">
        <v>8</v>
      </c>
      <c r="C17" s="2">
        <v>2</v>
      </c>
      <c r="D17" s="2">
        <v>22.59</v>
      </c>
      <c r="E17" s="2">
        <v>2005</v>
      </c>
      <c r="F17" s="2" t="s">
        <v>9</v>
      </c>
      <c r="G17" s="2">
        <v>11</v>
      </c>
      <c r="H17" s="2">
        <v>22.59</v>
      </c>
      <c r="I17" s="2">
        <v>22.59</v>
      </c>
      <c r="J17" s="2">
        <v>22.59</v>
      </c>
      <c r="K17" s="2">
        <v>22.59</v>
      </c>
      <c r="L17" s="2">
        <v>22.59</v>
      </c>
      <c r="M17" s="2">
        <v>0</v>
      </c>
      <c r="N17" s="2">
        <v>22.59</v>
      </c>
      <c r="O17" s="2">
        <v>22.59</v>
      </c>
      <c r="P17" s="2">
        <v>0</v>
      </c>
      <c r="Q17" s="2">
        <v>22.59</v>
      </c>
      <c r="R17" s="2">
        <v>0</v>
      </c>
      <c r="S17" s="2">
        <v>22.59</v>
      </c>
      <c r="T17" s="2"/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</row>
    <row r="18" spans="1:27" ht="15">
      <c r="A18" s="2" t="s">
        <v>10</v>
      </c>
      <c r="B18" s="2" t="s">
        <v>8</v>
      </c>
      <c r="C18" s="2">
        <v>3</v>
      </c>
      <c r="D18" s="2">
        <v>10.82</v>
      </c>
      <c r="E18" s="2">
        <v>2006</v>
      </c>
      <c r="F18" s="2" t="s">
        <v>9</v>
      </c>
      <c r="G18" s="2">
        <v>10</v>
      </c>
      <c r="H18" s="2">
        <v>10.82</v>
      </c>
      <c r="I18" s="2">
        <v>10.82</v>
      </c>
      <c r="J18" s="2">
        <v>10.82</v>
      </c>
      <c r="K18" s="2">
        <v>10.82</v>
      </c>
      <c r="L18" s="2">
        <v>10.82</v>
      </c>
      <c r="M18" s="2">
        <v>0</v>
      </c>
      <c r="N18" s="2">
        <v>10.82</v>
      </c>
      <c r="O18" s="2">
        <v>10.82</v>
      </c>
      <c r="P18" s="2">
        <v>0</v>
      </c>
      <c r="Q18" s="2">
        <v>10.82</v>
      </c>
      <c r="R18" s="2">
        <v>0</v>
      </c>
      <c r="S18" s="2">
        <v>10.82</v>
      </c>
      <c r="T18" s="2"/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</row>
    <row r="19" spans="1:27" ht="15">
      <c r="A19" s="2" t="s">
        <v>10</v>
      </c>
      <c r="B19" s="2" t="s">
        <v>8</v>
      </c>
      <c r="C19" s="2">
        <v>4</v>
      </c>
      <c r="D19" s="2">
        <v>18.3</v>
      </c>
      <c r="E19" s="2">
        <v>2006</v>
      </c>
      <c r="F19" s="2" t="s">
        <v>11</v>
      </c>
      <c r="G19" s="2">
        <v>10</v>
      </c>
      <c r="H19" s="2">
        <v>18.3</v>
      </c>
      <c r="I19" s="2">
        <v>18.3</v>
      </c>
      <c r="J19" s="2">
        <v>18.3</v>
      </c>
      <c r="K19" s="2">
        <v>18.3</v>
      </c>
      <c r="L19" s="2">
        <v>18.3</v>
      </c>
      <c r="M19" s="2">
        <v>0</v>
      </c>
      <c r="N19" s="2">
        <v>18.3</v>
      </c>
      <c r="O19" s="2">
        <v>18.3</v>
      </c>
      <c r="P19" s="2">
        <v>0</v>
      </c>
      <c r="Q19" s="2">
        <v>18.3</v>
      </c>
      <c r="R19" s="2">
        <v>0</v>
      </c>
      <c r="S19" s="2">
        <v>18.3</v>
      </c>
      <c r="T19" s="2"/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15">
      <c r="A20" s="2"/>
      <c r="B20" s="2"/>
      <c r="C20" s="2"/>
      <c r="D20" s="2">
        <f>SUM(D16:D19)</f>
        <v>73.3</v>
      </c>
      <c r="E20" s="2"/>
      <c r="F20" s="2"/>
      <c r="G20" s="2"/>
      <c r="H20" s="2">
        <f>SUM(H16:H19)</f>
        <v>73.3</v>
      </c>
      <c r="I20" s="2">
        <f aca="true" t="shared" si="1" ref="I20:S20">SUM(I16:I19)</f>
        <v>73.3</v>
      </c>
      <c r="J20" s="2">
        <f t="shared" si="1"/>
        <v>73.3</v>
      </c>
      <c r="K20" s="2">
        <f t="shared" si="1"/>
        <v>73.3</v>
      </c>
      <c r="L20" s="2">
        <f t="shared" si="1"/>
        <v>73.3</v>
      </c>
      <c r="M20" s="2">
        <f t="shared" si="1"/>
        <v>0</v>
      </c>
      <c r="N20" s="2">
        <f t="shared" si="1"/>
        <v>73.3</v>
      </c>
      <c r="O20" s="2">
        <f t="shared" si="1"/>
        <v>73.3</v>
      </c>
      <c r="P20" s="2">
        <f t="shared" si="1"/>
        <v>0</v>
      </c>
      <c r="Q20" s="2">
        <f t="shared" si="1"/>
        <v>73.3</v>
      </c>
      <c r="R20" s="2">
        <f t="shared" si="1"/>
        <v>0</v>
      </c>
      <c r="S20" s="2">
        <f t="shared" si="1"/>
        <v>73.3</v>
      </c>
      <c r="T20" s="2"/>
      <c r="U20" s="2">
        <f aca="true" t="shared" si="2" ref="U20:AA20">SUM(U16:U19)</f>
        <v>0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</row>
    <row r="22" spans="1:3" ht="15">
      <c r="A22" t="s">
        <v>0</v>
      </c>
      <c r="C22" t="s">
        <v>12</v>
      </c>
    </row>
    <row r="23" spans="8:27" ht="15">
      <c r="H23" s="2" t="s">
        <v>26</v>
      </c>
      <c r="I23" s="2" t="s">
        <v>27</v>
      </c>
      <c r="J23" s="2" t="s">
        <v>28</v>
      </c>
      <c r="K23" s="2"/>
      <c r="L23" s="2"/>
      <c r="M23" s="2"/>
      <c r="N23" s="2" t="s">
        <v>29</v>
      </c>
      <c r="O23" s="2"/>
      <c r="P23" s="2"/>
      <c r="Q23" s="2" t="s">
        <v>30</v>
      </c>
      <c r="R23" s="2" t="s">
        <v>30</v>
      </c>
      <c r="S23" s="2" t="s">
        <v>31</v>
      </c>
      <c r="T23" s="2"/>
      <c r="U23" s="2" t="s">
        <v>32</v>
      </c>
      <c r="V23" s="2" t="s">
        <v>32</v>
      </c>
      <c r="W23" s="2"/>
      <c r="X23" s="2"/>
      <c r="Y23" s="2"/>
      <c r="Z23" s="2"/>
      <c r="AA23" s="2"/>
    </row>
    <row r="24" spans="1:27" ht="15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2" t="s">
        <v>7</v>
      </c>
      <c r="G24" s="1" t="s">
        <v>25</v>
      </c>
      <c r="H24" s="2"/>
      <c r="I24" s="2"/>
      <c r="J24" s="2" t="s">
        <v>33</v>
      </c>
      <c r="K24" s="2" t="s">
        <v>34</v>
      </c>
      <c r="L24" s="2" t="s">
        <v>35</v>
      </c>
      <c r="M24" s="2" t="s">
        <v>36</v>
      </c>
      <c r="N24" s="2" t="s">
        <v>33</v>
      </c>
      <c r="O24" s="2" t="s">
        <v>34</v>
      </c>
      <c r="P24" s="2" t="s">
        <v>35</v>
      </c>
      <c r="Q24" s="2" t="s">
        <v>33</v>
      </c>
      <c r="R24" s="2" t="s">
        <v>37</v>
      </c>
      <c r="S24" s="2" t="s">
        <v>38</v>
      </c>
      <c r="T24" s="2"/>
      <c r="U24" s="2" t="s">
        <v>38</v>
      </c>
      <c r="V24" s="2" t="s">
        <v>39</v>
      </c>
      <c r="W24" s="2" t="s">
        <v>38</v>
      </c>
      <c r="X24" s="2" t="s">
        <v>40</v>
      </c>
      <c r="Y24" s="2" t="s">
        <v>41</v>
      </c>
      <c r="Z24" s="2" t="s">
        <v>42</v>
      </c>
      <c r="AA24" s="2" t="s">
        <v>43</v>
      </c>
    </row>
    <row r="25" spans="1:27" ht="15">
      <c r="A25" s="2" t="s">
        <v>12</v>
      </c>
      <c r="B25" s="2" t="s">
        <v>8</v>
      </c>
      <c r="C25" s="2">
        <v>1</v>
      </c>
      <c r="D25" s="2">
        <v>41.29</v>
      </c>
      <c r="E25" s="2">
        <v>2005</v>
      </c>
      <c r="F25" s="2" t="s">
        <v>9</v>
      </c>
      <c r="G25" s="2">
        <v>11</v>
      </c>
      <c r="H25" s="2">
        <v>41.29</v>
      </c>
      <c r="I25" s="2">
        <v>41.29</v>
      </c>
      <c r="J25" s="2">
        <v>41.29</v>
      </c>
      <c r="K25" s="2">
        <v>41.29</v>
      </c>
      <c r="L25" s="2">
        <v>41.29</v>
      </c>
      <c r="M25" s="2">
        <v>0</v>
      </c>
      <c r="N25" s="2">
        <v>41.29</v>
      </c>
      <c r="O25" s="2">
        <v>41.29</v>
      </c>
      <c r="P25" s="2">
        <v>0</v>
      </c>
      <c r="Q25" s="2">
        <v>41.29</v>
      </c>
      <c r="R25" s="2">
        <v>0</v>
      </c>
      <c r="S25" s="2">
        <v>41.29</v>
      </c>
      <c r="T25" s="2"/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</row>
    <row r="26" spans="1:27" ht="15">
      <c r="A26" s="2" t="s">
        <v>12</v>
      </c>
      <c r="B26" s="2" t="s">
        <v>8</v>
      </c>
      <c r="C26" s="2">
        <v>2</v>
      </c>
      <c r="D26" s="2">
        <v>17.26</v>
      </c>
      <c r="E26" s="2">
        <v>2005</v>
      </c>
      <c r="F26" s="2" t="s">
        <v>9</v>
      </c>
      <c r="G26" s="2">
        <v>11</v>
      </c>
      <c r="H26" s="2">
        <v>17.26</v>
      </c>
      <c r="I26" s="2">
        <v>17.26</v>
      </c>
      <c r="J26" s="2">
        <v>17.26</v>
      </c>
      <c r="K26" s="2">
        <v>17.26</v>
      </c>
      <c r="L26" s="2">
        <v>17.26</v>
      </c>
      <c r="M26" s="2">
        <v>0</v>
      </c>
      <c r="N26" s="2">
        <v>17.26</v>
      </c>
      <c r="O26" s="2">
        <v>17.26</v>
      </c>
      <c r="P26" s="2">
        <v>0</v>
      </c>
      <c r="Q26" s="2">
        <v>17.26</v>
      </c>
      <c r="R26" s="2">
        <v>0</v>
      </c>
      <c r="S26" s="2">
        <v>17.26</v>
      </c>
      <c r="T26" s="2"/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</row>
    <row r="27" spans="1:27" ht="15">
      <c r="A27" s="2" t="s">
        <v>12</v>
      </c>
      <c r="B27" s="2" t="s">
        <v>8</v>
      </c>
      <c r="C27" s="2">
        <v>3</v>
      </c>
      <c r="D27" s="2">
        <v>28.89</v>
      </c>
      <c r="E27" s="2">
        <v>2005</v>
      </c>
      <c r="F27" s="2" t="s">
        <v>9</v>
      </c>
      <c r="G27" s="2">
        <v>11</v>
      </c>
      <c r="H27" s="2">
        <v>28.89</v>
      </c>
      <c r="I27" s="2">
        <v>28.89</v>
      </c>
      <c r="J27" s="2">
        <v>28.89</v>
      </c>
      <c r="K27" s="2">
        <v>28.89</v>
      </c>
      <c r="L27" s="2">
        <v>28.89</v>
      </c>
      <c r="M27" s="2">
        <v>0</v>
      </c>
      <c r="N27" s="2">
        <v>28.89</v>
      </c>
      <c r="O27" s="2">
        <v>28.89</v>
      </c>
      <c r="P27" s="2">
        <v>0</v>
      </c>
      <c r="Q27" s="2">
        <v>28.89</v>
      </c>
      <c r="R27" s="2">
        <v>0</v>
      </c>
      <c r="S27" s="2">
        <v>28.89</v>
      </c>
      <c r="T27" s="2"/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</row>
    <row r="28" spans="1:27" ht="15">
      <c r="A28" s="2" t="s">
        <v>12</v>
      </c>
      <c r="B28" s="2" t="s">
        <v>8</v>
      </c>
      <c r="C28" s="2">
        <v>4</v>
      </c>
      <c r="D28" s="2">
        <v>27.81</v>
      </c>
      <c r="E28" s="2">
        <v>2005</v>
      </c>
      <c r="F28" s="2" t="s">
        <v>9</v>
      </c>
      <c r="G28" s="2">
        <v>11</v>
      </c>
      <c r="H28" s="2">
        <v>27.81</v>
      </c>
      <c r="I28" s="2">
        <v>27.81</v>
      </c>
      <c r="J28" s="2">
        <v>27.81</v>
      </c>
      <c r="K28" s="2">
        <v>27.81</v>
      </c>
      <c r="L28" s="2">
        <v>27.81</v>
      </c>
      <c r="M28" s="2">
        <v>0</v>
      </c>
      <c r="N28" s="2">
        <v>27.81</v>
      </c>
      <c r="O28" s="2">
        <v>27.81</v>
      </c>
      <c r="P28" s="2">
        <v>0</v>
      </c>
      <c r="Q28" s="2">
        <v>27.81</v>
      </c>
      <c r="R28" s="2">
        <v>0</v>
      </c>
      <c r="S28" s="2">
        <v>27.81</v>
      </c>
      <c r="T28" s="2"/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</row>
    <row r="29" spans="1:27" ht="15">
      <c r="A29" s="2"/>
      <c r="B29" s="2"/>
      <c r="C29" s="2"/>
      <c r="D29" s="2">
        <f>SUM(D25:D28)</f>
        <v>115.25</v>
      </c>
      <c r="E29" s="2"/>
      <c r="F29" s="2"/>
      <c r="G29" s="2"/>
      <c r="H29" s="2">
        <f>SUM(H25:H28)</f>
        <v>115.25</v>
      </c>
      <c r="I29" s="2">
        <f aca="true" t="shared" si="3" ref="I29:S29">SUM(I25:I28)</f>
        <v>115.25</v>
      </c>
      <c r="J29" s="2">
        <f t="shared" si="3"/>
        <v>115.25</v>
      </c>
      <c r="K29" s="2">
        <f t="shared" si="3"/>
        <v>115.25</v>
      </c>
      <c r="L29" s="2">
        <f t="shared" si="3"/>
        <v>115.25</v>
      </c>
      <c r="M29" s="2">
        <f>SUM(M25:M28)</f>
        <v>0</v>
      </c>
      <c r="N29" s="2">
        <f t="shared" si="3"/>
        <v>115.25</v>
      </c>
      <c r="O29" s="2">
        <f t="shared" si="3"/>
        <v>115.25</v>
      </c>
      <c r="P29" s="2">
        <f>SUM(P25:P28)</f>
        <v>0</v>
      </c>
      <c r="Q29" s="2">
        <f t="shared" si="3"/>
        <v>115.25</v>
      </c>
      <c r="R29" s="2">
        <f>SUM(R25:R28)</f>
        <v>0</v>
      </c>
      <c r="S29" s="2">
        <f t="shared" si="3"/>
        <v>115.25</v>
      </c>
      <c r="T29" s="2"/>
      <c r="U29" s="2">
        <f aca="true" t="shared" si="4" ref="U29:AA29">SUM(U25:U28)</f>
        <v>0</v>
      </c>
      <c r="V29" s="2">
        <f t="shared" si="4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  <c r="Z29" s="2">
        <f t="shared" si="4"/>
        <v>0</v>
      </c>
      <c r="AA29" s="2">
        <f t="shared" si="4"/>
        <v>0</v>
      </c>
    </row>
    <row r="30" spans="12:16" ht="15">
      <c r="L30" s="5"/>
      <c r="M30" s="6"/>
      <c r="N30" s="6"/>
      <c r="O30" s="6"/>
      <c r="P30" s="6"/>
    </row>
    <row r="32" spans="1:3" ht="15">
      <c r="A32" t="s">
        <v>0</v>
      </c>
      <c r="C32" t="s">
        <v>13</v>
      </c>
    </row>
    <row r="33" spans="8:27" ht="15">
      <c r="H33" s="2" t="s">
        <v>26</v>
      </c>
      <c r="I33" s="2" t="s">
        <v>27</v>
      </c>
      <c r="J33" s="2" t="s">
        <v>28</v>
      </c>
      <c r="K33" s="2"/>
      <c r="L33" s="2"/>
      <c r="M33" s="2"/>
      <c r="N33" s="2" t="s">
        <v>29</v>
      </c>
      <c r="O33" s="2"/>
      <c r="P33" s="2"/>
      <c r="Q33" s="2" t="s">
        <v>30</v>
      </c>
      <c r="R33" s="2" t="s">
        <v>30</v>
      </c>
      <c r="S33" s="2" t="s">
        <v>31</v>
      </c>
      <c r="T33" s="2"/>
      <c r="U33" s="2" t="s">
        <v>32</v>
      </c>
      <c r="V33" s="2" t="s">
        <v>32</v>
      </c>
      <c r="W33" s="2"/>
      <c r="X33" s="2"/>
      <c r="Y33" s="2"/>
      <c r="Z33" s="2"/>
      <c r="AA33" s="2"/>
    </row>
    <row r="34" spans="1:27" ht="15">
      <c r="A34" s="2" t="s">
        <v>2</v>
      </c>
      <c r="B34" s="2" t="s">
        <v>3</v>
      </c>
      <c r="C34" s="2" t="s">
        <v>4</v>
      </c>
      <c r="D34" s="2" t="s">
        <v>5</v>
      </c>
      <c r="E34" s="2" t="s">
        <v>6</v>
      </c>
      <c r="F34" s="2" t="s">
        <v>7</v>
      </c>
      <c r="G34" s="1" t="s">
        <v>25</v>
      </c>
      <c r="H34" s="2"/>
      <c r="I34" s="2"/>
      <c r="J34" s="2" t="s">
        <v>33</v>
      </c>
      <c r="K34" s="2" t="s">
        <v>34</v>
      </c>
      <c r="L34" s="2" t="s">
        <v>35</v>
      </c>
      <c r="M34" s="2" t="s">
        <v>36</v>
      </c>
      <c r="N34" s="2" t="s">
        <v>33</v>
      </c>
      <c r="O34" s="2" t="s">
        <v>34</v>
      </c>
      <c r="P34" s="2" t="s">
        <v>35</v>
      </c>
      <c r="Q34" s="2" t="s">
        <v>33</v>
      </c>
      <c r="R34" s="2" t="s">
        <v>37</v>
      </c>
      <c r="S34" s="2" t="s">
        <v>38</v>
      </c>
      <c r="T34" s="2"/>
      <c r="U34" s="2" t="s">
        <v>38</v>
      </c>
      <c r="V34" s="2" t="s">
        <v>39</v>
      </c>
      <c r="W34" s="2" t="s">
        <v>38</v>
      </c>
      <c r="X34" s="2" t="s">
        <v>40</v>
      </c>
      <c r="Y34" s="2" t="s">
        <v>41</v>
      </c>
      <c r="Z34" s="2" t="s">
        <v>42</v>
      </c>
      <c r="AA34" s="2" t="s">
        <v>43</v>
      </c>
    </row>
    <row r="35" spans="1:27" ht="15">
      <c r="A35" s="2" t="s">
        <v>13</v>
      </c>
      <c r="B35" s="2" t="s">
        <v>8</v>
      </c>
      <c r="C35" s="2">
        <v>1</v>
      </c>
      <c r="D35" s="2">
        <v>32.72</v>
      </c>
      <c r="E35" s="2">
        <v>2006</v>
      </c>
      <c r="F35" s="2" t="s">
        <v>9</v>
      </c>
      <c r="G35" s="2">
        <v>12</v>
      </c>
      <c r="H35" s="2">
        <v>32.72</v>
      </c>
      <c r="I35" s="2">
        <v>32.72</v>
      </c>
      <c r="J35" s="2">
        <v>32.72</v>
      </c>
      <c r="K35" s="2">
        <v>32.72</v>
      </c>
      <c r="L35" s="2">
        <v>32.72</v>
      </c>
      <c r="M35" s="2">
        <v>0</v>
      </c>
      <c r="N35" s="2">
        <v>32.72</v>
      </c>
      <c r="O35" s="2">
        <v>32.72</v>
      </c>
      <c r="P35" s="2">
        <v>0</v>
      </c>
      <c r="Q35" s="2">
        <v>32.72</v>
      </c>
      <c r="R35" s="2">
        <v>0</v>
      </c>
      <c r="S35" s="2">
        <v>32.72</v>
      </c>
      <c r="T35" s="2"/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</row>
    <row r="36" spans="1:27" ht="15">
      <c r="A36" s="2" t="s">
        <v>13</v>
      </c>
      <c r="B36" s="2" t="s">
        <v>8</v>
      </c>
      <c r="C36" s="2">
        <v>2</v>
      </c>
      <c r="D36" s="2">
        <v>24.58</v>
      </c>
      <c r="E36" s="2">
        <v>2006</v>
      </c>
      <c r="F36" s="2" t="s">
        <v>9</v>
      </c>
      <c r="G36" s="2">
        <v>12</v>
      </c>
      <c r="H36" s="2">
        <v>24.58</v>
      </c>
      <c r="I36" s="2">
        <v>24.58</v>
      </c>
      <c r="J36" s="2">
        <v>24.58</v>
      </c>
      <c r="K36" s="2">
        <v>24.58</v>
      </c>
      <c r="L36" s="2">
        <v>24.58</v>
      </c>
      <c r="M36" s="2">
        <v>0</v>
      </c>
      <c r="N36" s="2">
        <v>24.58</v>
      </c>
      <c r="O36" s="2">
        <v>24.58</v>
      </c>
      <c r="P36" s="2">
        <v>0</v>
      </c>
      <c r="Q36" s="2">
        <v>24.58</v>
      </c>
      <c r="R36" s="2">
        <v>0</v>
      </c>
      <c r="S36" s="2">
        <v>24.58</v>
      </c>
      <c r="T36" s="2"/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</row>
    <row r="37" spans="1:27" ht="15">
      <c r="A37" s="2" t="s">
        <v>13</v>
      </c>
      <c r="B37" s="2" t="s">
        <v>8</v>
      </c>
      <c r="C37" s="2">
        <v>3</v>
      </c>
      <c r="D37" s="2">
        <v>20.58</v>
      </c>
      <c r="E37" s="2">
        <v>2006</v>
      </c>
      <c r="F37" s="2" t="s">
        <v>9</v>
      </c>
      <c r="G37" s="2">
        <v>12</v>
      </c>
      <c r="H37" s="2">
        <v>20.58</v>
      </c>
      <c r="I37" s="2">
        <v>20.58</v>
      </c>
      <c r="J37" s="2">
        <v>20.58</v>
      </c>
      <c r="K37" s="2">
        <v>20.58</v>
      </c>
      <c r="L37" s="2">
        <v>20.58</v>
      </c>
      <c r="M37" s="2">
        <v>0</v>
      </c>
      <c r="N37" s="2">
        <v>20.58</v>
      </c>
      <c r="O37" s="2">
        <v>20.58</v>
      </c>
      <c r="P37" s="2">
        <v>0</v>
      </c>
      <c r="Q37" s="2">
        <v>20.58</v>
      </c>
      <c r="R37" s="2">
        <v>0</v>
      </c>
      <c r="S37" s="2">
        <v>20.58</v>
      </c>
      <c r="T37" s="2"/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</row>
    <row r="38" spans="1:27" ht="15">
      <c r="A38" s="2" t="s">
        <v>13</v>
      </c>
      <c r="B38" s="2" t="s">
        <v>8</v>
      </c>
      <c r="C38" s="2">
        <v>4</v>
      </c>
      <c r="D38" s="2">
        <v>22.75</v>
      </c>
      <c r="E38" s="2">
        <v>2006</v>
      </c>
      <c r="F38" s="2" t="s">
        <v>9</v>
      </c>
      <c r="G38" s="2">
        <v>12</v>
      </c>
      <c r="H38" s="2">
        <v>22.75</v>
      </c>
      <c r="I38" s="2">
        <v>22.75</v>
      </c>
      <c r="J38" s="2">
        <v>22.75</v>
      </c>
      <c r="K38" s="2">
        <v>22.75</v>
      </c>
      <c r="L38" s="2">
        <v>22.75</v>
      </c>
      <c r="M38" s="2">
        <v>0</v>
      </c>
      <c r="N38" s="2">
        <v>22.75</v>
      </c>
      <c r="O38" s="2">
        <v>22.75</v>
      </c>
      <c r="P38" s="2">
        <v>0</v>
      </c>
      <c r="Q38" s="2">
        <v>22.75</v>
      </c>
      <c r="R38" s="2">
        <v>0</v>
      </c>
      <c r="S38" s="2">
        <v>22.75</v>
      </c>
      <c r="T38" s="2"/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</row>
    <row r="39" spans="1:27" ht="15">
      <c r="A39" s="2" t="s">
        <v>13</v>
      </c>
      <c r="B39" s="2" t="s">
        <v>8</v>
      </c>
      <c r="C39" s="2">
        <v>5</v>
      </c>
      <c r="D39" s="2">
        <v>13.11</v>
      </c>
      <c r="E39" s="2">
        <v>2006</v>
      </c>
      <c r="F39" s="2" t="s">
        <v>9</v>
      </c>
      <c r="G39" s="2">
        <v>12</v>
      </c>
      <c r="H39" s="2">
        <v>13.11</v>
      </c>
      <c r="I39" s="2">
        <v>13.11</v>
      </c>
      <c r="J39" s="2">
        <v>13.11</v>
      </c>
      <c r="K39" s="2">
        <v>13.11</v>
      </c>
      <c r="L39" s="2">
        <v>13.11</v>
      </c>
      <c r="M39" s="2">
        <v>0</v>
      </c>
      <c r="N39" s="2">
        <v>13.11</v>
      </c>
      <c r="O39" s="2">
        <v>13.11</v>
      </c>
      <c r="P39" s="2">
        <v>0</v>
      </c>
      <c r="Q39" s="2">
        <v>13.11</v>
      </c>
      <c r="R39" s="2">
        <v>0</v>
      </c>
      <c r="S39" s="2">
        <v>13.11</v>
      </c>
      <c r="T39" s="2"/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</row>
    <row r="40" spans="1:27" ht="15">
      <c r="A40" s="2" t="s">
        <v>13</v>
      </c>
      <c r="B40" s="2" t="s">
        <v>8</v>
      </c>
      <c r="C40" s="2">
        <v>6</v>
      </c>
      <c r="D40" s="2">
        <v>33.31</v>
      </c>
      <c r="E40" s="2">
        <v>2006</v>
      </c>
      <c r="F40" s="2" t="s">
        <v>9</v>
      </c>
      <c r="G40" s="2">
        <v>12</v>
      </c>
      <c r="H40" s="2">
        <v>33.31</v>
      </c>
      <c r="I40" s="2">
        <v>33.31</v>
      </c>
      <c r="J40" s="2">
        <v>33.31</v>
      </c>
      <c r="K40" s="2">
        <v>33.31</v>
      </c>
      <c r="L40" s="2">
        <v>33.31</v>
      </c>
      <c r="M40" s="2">
        <v>0</v>
      </c>
      <c r="N40" s="2">
        <v>33.31</v>
      </c>
      <c r="O40" s="2">
        <v>33.31</v>
      </c>
      <c r="P40" s="2">
        <v>0</v>
      </c>
      <c r="Q40" s="2">
        <v>33.31</v>
      </c>
      <c r="R40" s="2">
        <v>0</v>
      </c>
      <c r="S40" s="2">
        <v>33.31</v>
      </c>
      <c r="T40" s="2"/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</row>
    <row r="41" spans="1:27" ht="15">
      <c r="A41" s="2"/>
      <c r="B41" s="2"/>
      <c r="C41" s="2"/>
      <c r="D41" s="2">
        <f>SUM(D35:D40)</f>
        <v>147.05</v>
      </c>
      <c r="E41" s="2"/>
      <c r="F41" s="2"/>
      <c r="G41" s="2"/>
      <c r="H41" s="2">
        <f>SUM(H35:H40)</f>
        <v>147.05</v>
      </c>
      <c r="I41" s="2">
        <f aca="true" t="shared" si="5" ref="I41:S41">SUM(I35:I40)</f>
        <v>147.05</v>
      </c>
      <c r="J41" s="2">
        <f t="shared" si="5"/>
        <v>147.05</v>
      </c>
      <c r="K41" s="2">
        <f t="shared" si="5"/>
        <v>147.05</v>
      </c>
      <c r="L41" s="2">
        <f t="shared" si="5"/>
        <v>147.05</v>
      </c>
      <c r="M41" s="2">
        <f>SUM(M35:M40)</f>
        <v>0</v>
      </c>
      <c r="N41" s="2">
        <f t="shared" si="5"/>
        <v>147.05</v>
      </c>
      <c r="O41" s="2">
        <f t="shared" si="5"/>
        <v>147.05</v>
      </c>
      <c r="P41" s="2">
        <f>SUM(P35:P40)</f>
        <v>0</v>
      </c>
      <c r="Q41" s="2">
        <f t="shared" si="5"/>
        <v>147.05</v>
      </c>
      <c r="R41" s="2">
        <f>SUM(R35:R40)</f>
        <v>0</v>
      </c>
      <c r="S41" s="2">
        <f t="shared" si="5"/>
        <v>147.05</v>
      </c>
      <c r="T41" s="2"/>
      <c r="U41" s="2">
        <f aca="true" t="shared" si="6" ref="U41:AA41">SUM(U35:U40)</f>
        <v>0</v>
      </c>
      <c r="V41" s="2">
        <f t="shared" si="6"/>
        <v>0</v>
      </c>
      <c r="W41" s="2">
        <f t="shared" si="6"/>
        <v>0</v>
      </c>
      <c r="X41" s="2">
        <f t="shared" si="6"/>
        <v>0</v>
      </c>
      <c r="Y41" s="2">
        <f t="shared" si="6"/>
        <v>0</v>
      </c>
      <c r="Z41" s="2">
        <f t="shared" si="6"/>
        <v>0</v>
      </c>
      <c r="AA41" s="2">
        <f t="shared" si="6"/>
        <v>0</v>
      </c>
    </row>
    <row r="44" spans="1:3" ht="15">
      <c r="A44" t="s">
        <v>0</v>
      </c>
      <c r="C44" t="s">
        <v>14</v>
      </c>
    </row>
    <row r="45" spans="8:27" ht="15">
      <c r="H45" s="2" t="s">
        <v>26</v>
      </c>
      <c r="I45" s="2" t="s">
        <v>27</v>
      </c>
      <c r="J45" s="2" t="s">
        <v>28</v>
      </c>
      <c r="K45" s="2"/>
      <c r="L45" s="2"/>
      <c r="M45" s="2"/>
      <c r="N45" s="2" t="s">
        <v>29</v>
      </c>
      <c r="O45" s="2"/>
      <c r="P45" s="2"/>
      <c r="Q45" s="2" t="s">
        <v>30</v>
      </c>
      <c r="R45" s="2" t="s">
        <v>30</v>
      </c>
      <c r="S45" s="2" t="s">
        <v>31</v>
      </c>
      <c r="T45" s="2"/>
      <c r="U45" s="2" t="s">
        <v>32</v>
      </c>
      <c r="V45" s="2" t="s">
        <v>32</v>
      </c>
      <c r="W45" s="2"/>
      <c r="X45" s="2"/>
      <c r="Y45" s="2"/>
      <c r="Z45" s="2"/>
      <c r="AA45" s="2"/>
    </row>
    <row r="46" spans="1:27" ht="15">
      <c r="A46" s="2" t="s">
        <v>2</v>
      </c>
      <c r="B46" s="2" t="s">
        <v>3</v>
      </c>
      <c r="C46" s="2" t="s">
        <v>4</v>
      </c>
      <c r="D46" s="2" t="s">
        <v>5</v>
      </c>
      <c r="E46" s="2" t="s">
        <v>6</v>
      </c>
      <c r="F46" s="2" t="s">
        <v>7</v>
      </c>
      <c r="G46" s="1" t="s">
        <v>25</v>
      </c>
      <c r="H46" s="2"/>
      <c r="I46" s="2"/>
      <c r="J46" s="2" t="s">
        <v>33</v>
      </c>
      <c r="K46" s="2" t="s">
        <v>34</v>
      </c>
      <c r="L46" s="2" t="s">
        <v>35</v>
      </c>
      <c r="M46" s="2" t="s">
        <v>36</v>
      </c>
      <c r="N46" s="2" t="s">
        <v>33</v>
      </c>
      <c r="O46" s="2" t="s">
        <v>34</v>
      </c>
      <c r="P46" s="2" t="s">
        <v>35</v>
      </c>
      <c r="Q46" s="2" t="s">
        <v>33</v>
      </c>
      <c r="R46" s="2" t="s">
        <v>37</v>
      </c>
      <c r="S46" s="2" t="s">
        <v>38</v>
      </c>
      <c r="T46" s="2"/>
      <c r="U46" s="2" t="s">
        <v>38</v>
      </c>
      <c r="V46" s="2" t="s">
        <v>39</v>
      </c>
      <c r="W46" s="2" t="s">
        <v>38</v>
      </c>
      <c r="X46" s="2" t="s">
        <v>40</v>
      </c>
      <c r="Y46" s="2" t="s">
        <v>41</v>
      </c>
      <c r="Z46" s="2" t="s">
        <v>42</v>
      </c>
      <c r="AA46" s="2" t="s">
        <v>43</v>
      </c>
    </row>
    <row r="47" spans="1:27" ht="15">
      <c r="A47" s="2" t="s">
        <v>14</v>
      </c>
      <c r="B47" s="2" t="s">
        <v>8</v>
      </c>
      <c r="C47" s="2">
        <v>1</v>
      </c>
      <c r="D47" s="2">
        <v>19.06</v>
      </c>
      <c r="E47" s="2">
        <v>2006</v>
      </c>
      <c r="F47" s="2" t="s">
        <v>9</v>
      </c>
      <c r="G47" s="2">
        <v>12</v>
      </c>
      <c r="H47" s="2">
        <v>19.06</v>
      </c>
      <c r="I47" s="2">
        <v>19.06</v>
      </c>
      <c r="J47" s="2">
        <v>19.06</v>
      </c>
      <c r="K47" s="2">
        <v>19.06</v>
      </c>
      <c r="L47" s="2">
        <v>19.06</v>
      </c>
      <c r="M47" s="2">
        <v>0</v>
      </c>
      <c r="N47" s="2">
        <v>19.06</v>
      </c>
      <c r="O47" s="2">
        <v>19.06</v>
      </c>
      <c r="P47" s="2">
        <v>0</v>
      </c>
      <c r="Q47" s="2">
        <v>19.06</v>
      </c>
      <c r="R47" s="2">
        <v>0</v>
      </c>
      <c r="S47" s="2">
        <v>19.06</v>
      </c>
      <c r="T47" s="2"/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</row>
    <row r="48" spans="1:27" ht="15">
      <c r="A48" s="2" t="s">
        <v>14</v>
      </c>
      <c r="B48" s="2" t="s">
        <v>8</v>
      </c>
      <c r="C48" s="2">
        <v>2</v>
      </c>
      <c r="D48" s="2">
        <v>34.77</v>
      </c>
      <c r="E48" s="2">
        <v>2006</v>
      </c>
      <c r="F48" s="2" t="s">
        <v>9</v>
      </c>
      <c r="G48" s="2">
        <v>12</v>
      </c>
      <c r="H48" s="2">
        <v>34.77</v>
      </c>
      <c r="I48" s="2">
        <v>34.77</v>
      </c>
      <c r="J48" s="2">
        <v>34.77</v>
      </c>
      <c r="K48" s="2">
        <v>34.77</v>
      </c>
      <c r="L48" s="2">
        <v>34.77</v>
      </c>
      <c r="M48" s="2">
        <v>0</v>
      </c>
      <c r="N48" s="2">
        <v>34.77</v>
      </c>
      <c r="O48" s="2">
        <v>34.77</v>
      </c>
      <c r="P48" s="2">
        <v>0</v>
      </c>
      <c r="Q48" s="2">
        <v>34.77</v>
      </c>
      <c r="R48" s="2">
        <v>0</v>
      </c>
      <c r="S48" s="2">
        <v>34.77</v>
      </c>
      <c r="T48" s="2"/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</row>
    <row r="49" spans="1:27" ht="15">
      <c r="A49" s="2" t="s">
        <v>14</v>
      </c>
      <c r="B49" s="2" t="s">
        <v>8</v>
      </c>
      <c r="C49" s="2">
        <v>3</v>
      </c>
      <c r="D49" s="2">
        <v>30.64</v>
      </c>
      <c r="E49" s="2">
        <v>2006</v>
      </c>
      <c r="F49" s="2" t="s">
        <v>9</v>
      </c>
      <c r="G49" s="2">
        <v>12</v>
      </c>
      <c r="H49" s="2">
        <v>30.64</v>
      </c>
      <c r="I49" s="2">
        <v>30.64</v>
      </c>
      <c r="J49" s="2">
        <v>30.64</v>
      </c>
      <c r="K49" s="2">
        <v>30.64</v>
      </c>
      <c r="L49" s="2">
        <v>30.64</v>
      </c>
      <c r="M49" s="2">
        <v>0</v>
      </c>
      <c r="N49" s="2">
        <v>30.64</v>
      </c>
      <c r="O49" s="2">
        <v>30.64</v>
      </c>
      <c r="P49" s="2">
        <v>0</v>
      </c>
      <c r="Q49" s="2">
        <v>30.64</v>
      </c>
      <c r="R49" s="2">
        <v>0</v>
      </c>
      <c r="S49" s="2">
        <v>30.64</v>
      </c>
      <c r="T49" s="2"/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</row>
    <row r="50" spans="1:27" ht="15">
      <c r="A50" s="2" t="s">
        <v>14</v>
      </c>
      <c r="B50" s="2" t="s">
        <v>8</v>
      </c>
      <c r="C50" s="2">
        <v>4</v>
      </c>
      <c r="D50" s="2">
        <v>20.52</v>
      </c>
      <c r="E50" s="2">
        <v>2006</v>
      </c>
      <c r="F50" s="2" t="s">
        <v>9</v>
      </c>
      <c r="G50" s="2">
        <v>12</v>
      </c>
      <c r="H50" s="2">
        <v>20.52</v>
      </c>
      <c r="I50" s="2">
        <v>20.52</v>
      </c>
      <c r="J50" s="2">
        <v>20.52</v>
      </c>
      <c r="K50" s="2">
        <v>20.52</v>
      </c>
      <c r="L50" s="2">
        <v>20.52</v>
      </c>
      <c r="M50" s="2">
        <v>0</v>
      </c>
      <c r="N50" s="2">
        <v>20.52</v>
      </c>
      <c r="O50" s="2">
        <v>20.52</v>
      </c>
      <c r="P50" s="2">
        <v>0</v>
      </c>
      <c r="Q50" s="2">
        <v>20.52</v>
      </c>
      <c r="R50" s="2">
        <v>0</v>
      </c>
      <c r="S50" s="2">
        <v>20.52</v>
      </c>
      <c r="T50" s="2"/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</row>
    <row r="51" spans="1:27" ht="15">
      <c r="A51" s="2" t="s">
        <v>14</v>
      </c>
      <c r="B51" s="2" t="s">
        <v>8</v>
      </c>
      <c r="C51" s="2">
        <v>5</v>
      </c>
      <c r="D51" s="2">
        <v>31.9</v>
      </c>
      <c r="E51" s="2">
        <v>2006</v>
      </c>
      <c r="F51" s="2" t="s">
        <v>9</v>
      </c>
      <c r="G51" s="2">
        <v>12</v>
      </c>
      <c r="H51" s="2">
        <v>31.9</v>
      </c>
      <c r="I51" s="2">
        <v>31.9</v>
      </c>
      <c r="J51" s="2">
        <v>31.9</v>
      </c>
      <c r="K51" s="2">
        <v>31.9</v>
      </c>
      <c r="L51" s="2">
        <v>31.9</v>
      </c>
      <c r="M51" s="2">
        <v>0</v>
      </c>
      <c r="N51" s="2">
        <v>31.9</v>
      </c>
      <c r="O51" s="2">
        <v>31.9</v>
      </c>
      <c r="P51" s="2">
        <v>0</v>
      </c>
      <c r="Q51" s="2">
        <v>31.9</v>
      </c>
      <c r="R51" s="2">
        <v>0</v>
      </c>
      <c r="S51" s="2">
        <v>31.9</v>
      </c>
      <c r="T51" s="2"/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</row>
    <row r="52" spans="1:27" ht="15">
      <c r="A52" s="2" t="s">
        <v>14</v>
      </c>
      <c r="B52" s="2" t="s">
        <v>8</v>
      </c>
      <c r="C52" s="2">
        <v>6</v>
      </c>
      <c r="D52" s="2">
        <v>32.44</v>
      </c>
      <c r="E52" s="2">
        <v>2006</v>
      </c>
      <c r="F52" s="2" t="s">
        <v>9</v>
      </c>
      <c r="G52" s="2">
        <v>12</v>
      </c>
      <c r="H52" s="2">
        <v>32.44</v>
      </c>
      <c r="I52" s="2">
        <v>32.44</v>
      </c>
      <c r="J52" s="2">
        <v>32.44</v>
      </c>
      <c r="K52" s="2">
        <v>32.44</v>
      </c>
      <c r="L52" s="2">
        <v>32.44</v>
      </c>
      <c r="M52" s="2">
        <v>0</v>
      </c>
      <c r="N52" s="2">
        <v>32.44</v>
      </c>
      <c r="O52" s="2">
        <v>32.44</v>
      </c>
      <c r="P52" s="2">
        <v>0</v>
      </c>
      <c r="Q52" s="2">
        <v>32.44</v>
      </c>
      <c r="R52" s="2">
        <v>0</v>
      </c>
      <c r="S52" s="2">
        <v>32.44</v>
      </c>
      <c r="T52" s="2"/>
      <c r="U52" s="2">
        <v>0</v>
      </c>
      <c r="V52" s="2"/>
      <c r="W52" s="2"/>
      <c r="X52" s="2"/>
      <c r="Y52" s="2"/>
      <c r="Z52" s="2"/>
      <c r="AA52" s="2"/>
    </row>
    <row r="53" spans="1:27" ht="15">
      <c r="A53" s="2" t="s">
        <v>14</v>
      </c>
      <c r="B53" s="2" t="s">
        <v>8</v>
      </c>
      <c r="C53" s="2">
        <v>7</v>
      </c>
      <c r="D53" s="2">
        <v>9.51</v>
      </c>
      <c r="E53" s="2">
        <v>2007</v>
      </c>
      <c r="F53" s="2" t="s">
        <v>9</v>
      </c>
      <c r="G53" s="2">
        <v>13</v>
      </c>
      <c r="H53" s="2">
        <v>9.51</v>
      </c>
      <c r="I53" s="2">
        <v>9.51</v>
      </c>
      <c r="J53" s="2">
        <v>9.51</v>
      </c>
      <c r="K53" s="2">
        <v>9.51</v>
      </c>
      <c r="L53" s="2">
        <v>9.51</v>
      </c>
      <c r="M53" s="2">
        <v>0</v>
      </c>
      <c r="N53" s="2">
        <v>9.51</v>
      </c>
      <c r="O53" s="2">
        <v>9.51</v>
      </c>
      <c r="P53" s="2">
        <v>0</v>
      </c>
      <c r="Q53" s="2">
        <v>9.51</v>
      </c>
      <c r="R53" s="2">
        <v>0</v>
      </c>
      <c r="S53" s="2">
        <v>9.51</v>
      </c>
      <c r="T53" s="2"/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</row>
    <row r="54" spans="1:27" ht="15">
      <c r="A54" s="2"/>
      <c r="B54" s="2"/>
      <c r="C54" s="2"/>
      <c r="D54" s="2">
        <f>SUM(D47:D53)</f>
        <v>178.83999999999997</v>
      </c>
      <c r="E54" s="2"/>
      <c r="F54" s="2"/>
      <c r="G54" s="2"/>
      <c r="H54" s="2">
        <f>SUM(H47:H53)</f>
        <v>178.83999999999997</v>
      </c>
      <c r="I54" s="2">
        <f aca="true" t="shared" si="7" ref="I54:S54">SUM(I47:I53)</f>
        <v>178.83999999999997</v>
      </c>
      <c r="J54" s="2">
        <f t="shared" si="7"/>
        <v>178.83999999999997</v>
      </c>
      <c r="K54" s="2">
        <f t="shared" si="7"/>
        <v>178.83999999999997</v>
      </c>
      <c r="L54" s="2">
        <f t="shared" si="7"/>
        <v>178.83999999999997</v>
      </c>
      <c r="M54" s="2">
        <f t="shared" si="7"/>
        <v>0</v>
      </c>
      <c r="N54" s="2">
        <f t="shared" si="7"/>
        <v>178.83999999999997</v>
      </c>
      <c r="O54" s="2">
        <f t="shared" si="7"/>
        <v>178.83999999999997</v>
      </c>
      <c r="P54" s="2">
        <f t="shared" si="7"/>
        <v>0</v>
      </c>
      <c r="Q54" s="2">
        <f t="shared" si="7"/>
        <v>178.83999999999997</v>
      </c>
      <c r="R54" s="2">
        <f t="shared" si="7"/>
        <v>0</v>
      </c>
      <c r="S54" s="2">
        <f t="shared" si="7"/>
        <v>178.83999999999997</v>
      </c>
      <c r="T54" s="2"/>
      <c r="U54" s="2">
        <f aca="true" t="shared" si="8" ref="U54:AA54">SUM(U47:U53)</f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</row>
    <row r="55" spans="3:7" ht="15">
      <c r="C55" s="3"/>
      <c r="D55" s="3"/>
      <c r="E55" s="3"/>
      <c r="F55" s="3"/>
      <c r="G55" s="3"/>
    </row>
    <row r="56" spans="3:7" ht="15">
      <c r="C56" s="3"/>
      <c r="D56" s="3"/>
      <c r="E56" s="3"/>
      <c r="F56" s="3"/>
      <c r="G56" s="3"/>
    </row>
    <row r="57" spans="1:3" ht="15">
      <c r="A57" t="s">
        <v>0</v>
      </c>
      <c r="C57" t="s">
        <v>16</v>
      </c>
    </row>
    <row r="58" spans="8:27" ht="15">
      <c r="H58" s="2" t="s">
        <v>26</v>
      </c>
      <c r="I58" s="2" t="s">
        <v>27</v>
      </c>
      <c r="J58" s="2" t="s">
        <v>28</v>
      </c>
      <c r="K58" s="2"/>
      <c r="L58" s="2"/>
      <c r="M58" s="2"/>
      <c r="N58" s="2" t="s">
        <v>29</v>
      </c>
      <c r="O58" s="2"/>
      <c r="P58" s="2"/>
      <c r="Q58" s="2" t="s">
        <v>30</v>
      </c>
      <c r="R58" s="2" t="s">
        <v>30</v>
      </c>
      <c r="S58" s="2" t="s">
        <v>31</v>
      </c>
      <c r="T58" s="2"/>
      <c r="U58" s="2" t="s">
        <v>32</v>
      </c>
      <c r="V58" s="2" t="s">
        <v>32</v>
      </c>
      <c r="W58" s="2"/>
      <c r="X58" s="2"/>
      <c r="Y58" s="2"/>
      <c r="Z58" s="2"/>
      <c r="AA58" s="2"/>
    </row>
    <row r="59" spans="1:27" ht="15">
      <c r="A59" s="2" t="s">
        <v>2</v>
      </c>
      <c r="B59" s="2" t="s">
        <v>3</v>
      </c>
      <c r="C59" s="2" t="s">
        <v>4</v>
      </c>
      <c r="D59" s="2" t="s">
        <v>5</v>
      </c>
      <c r="E59" s="2" t="s">
        <v>6</v>
      </c>
      <c r="F59" s="2" t="s">
        <v>7</v>
      </c>
      <c r="G59" s="1" t="s">
        <v>25</v>
      </c>
      <c r="H59" s="2"/>
      <c r="I59" s="2"/>
      <c r="J59" s="2" t="s">
        <v>33</v>
      </c>
      <c r="K59" s="2" t="s">
        <v>34</v>
      </c>
      <c r="L59" s="2" t="s">
        <v>35</v>
      </c>
      <c r="M59" s="2" t="s">
        <v>36</v>
      </c>
      <c r="N59" s="2" t="s">
        <v>33</v>
      </c>
      <c r="O59" s="2" t="s">
        <v>34</v>
      </c>
      <c r="P59" s="2" t="s">
        <v>35</v>
      </c>
      <c r="Q59" s="2" t="s">
        <v>33</v>
      </c>
      <c r="R59" s="2" t="s">
        <v>37</v>
      </c>
      <c r="S59" s="2" t="s">
        <v>38</v>
      </c>
      <c r="T59" s="2"/>
      <c r="U59" s="2" t="s">
        <v>38</v>
      </c>
      <c r="V59" s="2" t="s">
        <v>39</v>
      </c>
      <c r="W59" s="2" t="s">
        <v>38</v>
      </c>
      <c r="X59" s="2" t="s">
        <v>40</v>
      </c>
      <c r="Y59" s="2" t="s">
        <v>41</v>
      </c>
      <c r="Z59" s="2" t="s">
        <v>42</v>
      </c>
      <c r="AA59" s="2" t="s">
        <v>43</v>
      </c>
    </row>
    <row r="60" spans="1:27" ht="15">
      <c r="A60" s="2" t="s">
        <v>16</v>
      </c>
      <c r="B60" s="2" t="s">
        <v>8</v>
      </c>
      <c r="C60" s="2">
        <v>1</v>
      </c>
      <c r="D60" s="2">
        <v>25.85</v>
      </c>
      <c r="E60" s="2">
        <v>2005</v>
      </c>
      <c r="F60" s="2" t="s">
        <v>9</v>
      </c>
      <c r="G60" s="2">
        <v>11</v>
      </c>
      <c r="H60" s="2">
        <v>25.85</v>
      </c>
      <c r="I60" s="2">
        <v>25.85</v>
      </c>
      <c r="J60" s="2">
        <v>25.85</v>
      </c>
      <c r="K60" s="2">
        <v>25.85</v>
      </c>
      <c r="L60" s="2">
        <v>25.85</v>
      </c>
      <c r="M60" s="2">
        <v>0</v>
      </c>
      <c r="N60" s="2">
        <v>25.85</v>
      </c>
      <c r="O60" s="2">
        <v>25.85</v>
      </c>
      <c r="P60" s="2">
        <v>0</v>
      </c>
      <c r="Q60" s="2">
        <v>25.85</v>
      </c>
      <c r="R60" s="2">
        <v>0</v>
      </c>
      <c r="S60" s="2">
        <v>25.85</v>
      </c>
      <c r="T60" s="2"/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</row>
    <row r="61" spans="1:27" ht="15">
      <c r="A61" s="2" t="s">
        <v>16</v>
      </c>
      <c r="B61" s="2" t="s">
        <v>8</v>
      </c>
      <c r="C61" s="2">
        <v>2</v>
      </c>
      <c r="D61" s="2">
        <v>32.77</v>
      </c>
      <c r="E61" s="2">
        <v>2005</v>
      </c>
      <c r="F61" s="2" t="s">
        <v>9</v>
      </c>
      <c r="G61" s="2">
        <v>11</v>
      </c>
      <c r="H61" s="2">
        <v>32.77</v>
      </c>
      <c r="I61" s="2">
        <v>32.77</v>
      </c>
      <c r="J61" s="2">
        <v>32.77</v>
      </c>
      <c r="K61" s="2">
        <v>32.77</v>
      </c>
      <c r="L61" s="2">
        <v>32.77</v>
      </c>
      <c r="M61" s="2">
        <v>0</v>
      </c>
      <c r="N61" s="2">
        <v>32.77</v>
      </c>
      <c r="O61" s="2">
        <v>32.77</v>
      </c>
      <c r="P61" s="2">
        <v>0</v>
      </c>
      <c r="Q61" s="2">
        <v>32.77</v>
      </c>
      <c r="R61" s="2">
        <v>0</v>
      </c>
      <c r="S61" s="2">
        <v>32.77</v>
      </c>
      <c r="T61" s="2"/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</row>
    <row r="62" spans="1:27" ht="15">
      <c r="A62" s="2" t="s">
        <v>16</v>
      </c>
      <c r="B62" s="2" t="s">
        <v>8</v>
      </c>
      <c r="C62" s="2">
        <v>3</v>
      </c>
      <c r="D62" s="2">
        <v>36.3</v>
      </c>
      <c r="E62" s="2">
        <v>2005</v>
      </c>
      <c r="F62" s="2" t="s">
        <v>9</v>
      </c>
      <c r="G62" s="2">
        <v>11</v>
      </c>
      <c r="H62" s="2">
        <v>36.3</v>
      </c>
      <c r="I62" s="2">
        <v>36.3</v>
      </c>
      <c r="J62" s="2">
        <v>36.3</v>
      </c>
      <c r="K62" s="2">
        <v>36.3</v>
      </c>
      <c r="L62" s="2">
        <v>36.3</v>
      </c>
      <c r="M62" s="2">
        <v>0</v>
      </c>
      <c r="N62" s="2">
        <v>36.3</v>
      </c>
      <c r="O62" s="2">
        <v>36.3</v>
      </c>
      <c r="P62" s="2">
        <v>0</v>
      </c>
      <c r="Q62" s="2">
        <v>36.3</v>
      </c>
      <c r="R62" s="2">
        <v>0</v>
      </c>
      <c r="S62" s="2">
        <v>36.3</v>
      </c>
      <c r="T62" s="2"/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</row>
    <row r="63" spans="1:27" ht="15">
      <c r="A63" s="2" t="s">
        <v>16</v>
      </c>
      <c r="B63" s="2" t="s">
        <v>8</v>
      </c>
      <c r="C63" s="2">
        <v>4</v>
      </c>
      <c r="D63" s="2">
        <v>13.6</v>
      </c>
      <c r="E63" s="2">
        <v>2005</v>
      </c>
      <c r="F63" s="2" t="s">
        <v>9</v>
      </c>
      <c r="G63" s="2">
        <v>11</v>
      </c>
      <c r="H63" s="2">
        <v>13.6</v>
      </c>
      <c r="I63" s="2">
        <v>13.6</v>
      </c>
      <c r="J63" s="2">
        <v>13.6</v>
      </c>
      <c r="K63" s="2">
        <v>13.6</v>
      </c>
      <c r="L63" s="2">
        <v>13.6</v>
      </c>
      <c r="M63" s="2">
        <v>0</v>
      </c>
      <c r="N63" s="2">
        <v>13.6</v>
      </c>
      <c r="O63" s="2">
        <v>13.6</v>
      </c>
      <c r="P63" s="2">
        <v>0</v>
      </c>
      <c r="Q63" s="2">
        <v>13.6</v>
      </c>
      <c r="R63" s="2">
        <v>0</v>
      </c>
      <c r="S63" s="2">
        <v>13.6</v>
      </c>
      <c r="T63" s="2"/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</row>
    <row r="64" spans="1:27" ht="15">
      <c r="A64" s="2" t="s">
        <v>16</v>
      </c>
      <c r="B64" s="2" t="s">
        <v>8</v>
      </c>
      <c r="C64" s="2" t="s">
        <v>15</v>
      </c>
      <c r="D64" s="2">
        <v>12.42</v>
      </c>
      <c r="E64" s="2">
        <v>2005</v>
      </c>
      <c r="F64" s="2" t="s">
        <v>9</v>
      </c>
      <c r="G64" s="2">
        <v>11</v>
      </c>
      <c r="H64" s="2">
        <v>12.42</v>
      </c>
      <c r="I64" s="2">
        <v>12.42</v>
      </c>
      <c r="J64" s="2">
        <v>12.42</v>
      </c>
      <c r="K64" s="2">
        <v>12.42</v>
      </c>
      <c r="L64" s="2">
        <v>12.42</v>
      </c>
      <c r="M64" s="2">
        <v>0</v>
      </c>
      <c r="N64" s="2">
        <v>12.42</v>
      </c>
      <c r="O64" s="2">
        <v>12.42</v>
      </c>
      <c r="P64" s="2">
        <v>0</v>
      </c>
      <c r="Q64" s="2">
        <v>12.42</v>
      </c>
      <c r="R64" s="2">
        <v>0</v>
      </c>
      <c r="S64" s="2">
        <v>12.42</v>
      </c>
      <c r="T64" s="2"/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</row>
    <row r="65" spans="3:27" ht="15">
      <c r="C65" s="2"/>
      <c r="D65" s="2">
        <f>SUM(D60:D64)</f>
        <v>120.94</v>
      </c>
      <c r="E65" s="2"/>
      <c r="F65" s="2"/>
      <c r="G65" s="2"/>
      <c r="H65" s="2">
        <f>SUM(H60:H64)</f>
        <v>120.94</v>
      </c>
      <c r="I65" s="2">
        <f aca="true" t="shared" si="9" ref="I65:S65">SUM(I60:I64)</f>
        <v>120.94</v>
      </c>
      <c r="J65" s="2">
        <f t="shared" si="9"/>
        <v>120.94</v>
      </c>
      <c r="K65" s="2">
        <f t="shared" si="9"/>
        <v>120.94</v>
      </c>
      <c r="L65" s="2">
        <f t="shared" si="9"/>
        <v>120.94</v>
      </c>
      <c r="M65" s="2">
        <f>SUM(M60:M64)</f>
        <v>0</v>
      </c>
      <c r="N65" s="2">
        <f t="shared" si="9"/>
        <v>120.94</v>
      </c>
      <c r="O65" s="2">
        <f t="shared" si="9"/>
        <v>120.94</v>
      </c>
      <c r="P65" s="2">
        <f>SUM(P60:P64)</f>
        <v>0</v>
      </c>
      <c r="Q65" s="2">
        <f t="shared" si="9"/>
        <v>120.94</v>
      </c>
      <c r="R65" s="2">
        <f>SUM(R60:R64)</f>
        <v>0</v>
      </c>
      <c r="S65" s="2">
        <f t="shared" si="9"/>
        <v>120.94</v>
      </c>
      <c r="T65" s="2"/>
      <c r="U65" s="2">
        <f aca="true" t="shared" si="10" ref="U65:AA65">SUM(U60:U64)</f>
        <v>0</v>
      </c>
      <c r="V65" s="2">
        <f t="shared" si="10"/>
        <v>0</v>
      </c>
      <c r="W65" s="2">
        <f t="shared" si="10"/>
        <v>0</v>
      </c>
      <c r="X65" s="2">
        <f t="shared" si="10"/>
        <v>0</v>
      </c>
      <c r="Y65" s="2">
        <f t="shared" si="10"/>
        <v>0</v>
      </c>
      <c r="Z65" s="2">
        <f t="shared" si="10"/>
        <v>0</v>
      </c>
      <c r="AA65" s="2">
        <f t="shared" si="10"/>
        <v>0</v>
      </c>
    </row>
    <row r="67" ht="15">
      <c r="A67" t="s">
        <v>0</v>
      </c>
    </row>
    <row r="68" ht="15">
      <c r="C68" t="s">
        <v>17</v>
      </c>
    </row>
    <row r="69" spans="8:27" ht="15">
      <c r="H69" s="2" t="s">
        <v>26</v>
      </c>
      <c r="I69" s="2" t="s">
        <v>27</v>
      </c>
      <c r="J69" s="2" t="s">
        <v>28</v>
      </c>
      <c r="K69" s="2"/>
      <c r="L69" s="2"/>
      <c r="M69" s="2"/>
      <c r="N69" s="2" t="s">
        <v>29</v>
      </c>
      <c r="O69" s="2"/>
      <c r="P69" s="2"/>
      <c r="Q69" s="2" t="s">
        <v>30</v>
      </c>
      <c r="R69" s="2" t="s">
        <v>30</v>
      </c>
      <c r="S69" s="2" t="s">
        <v>31</v>
      </c>
      <c r="T69" s="2"/>
      <c r="U69" s="2" t="s">
        <v>32</v>
      </c>
      <c r="V69" s="2" t="s">
        <v>32</v>
      </c>
      <c r="W69" s="2"/>
      <c r="X69" s="2"/>
      <c r="Y69" s="2"/>
      <c r="Z69" s="2"/>
      <c r="AA69" s="2"/>
    </row>
    <row r="70" spans="1:25" ht="15">
      <c r="A70" s="2" t="s">
        <v>2</v>
      </c>
      <c r="B70" s="2" t="s">
        <v>3</v>
      </c>
      <c r="C70" s="2" t="s">
        <v>4</v>
      </c>
      <c r="D70" s="2" t="s">
        <v>5</v>
      </c>
      <c r="E70" s="2" t="s">
        <v>6</v>
      </c>
      <c r="F70" s="2" t="s">
        <v>7</v>
      </c>
      <c r="G70" s="1" t="s">
        <v>25</v>
      </c>
      <c r="H70" s="2" t="s">
        <v>33</v>
      </c>
      <c r="I70" s="2" t="s">
        <v>34</v>
      </c>
      <c r="J70" s="2" t="s">
        <v>35</v>
      </c>
      <c r="K70" s="2" t="s">
        <v>36</v>
      </c>
      <c r="L70" s="2" t="s">
        <v>33</v>
      </c>
      <c r="M70" s="2" t="s">
        <v>34</v>
      </c>
      <c r="N70" s="2" t="s">
        <v>35</v>
      </c>
      <c r="O70" s="2" t="s">
        <v>33</v>
      </c>
      <c r="P70" s="2" t="s">
        <v>37</v>
      </c>
      <c r="Q70" s="2" t="s">
        <v>38</v>
      </c>
      <c r="R70" s="2" t="s">
        <v>38</v>
      </c>
      <c r="S70" s="2" t="s">
        <v>39</v>
      </c>
      <c r="T70" s="2"/>
      <c r="U70" s="2" t="s">
        <v>38</v>
      </c>
      <c r="V70" s="2" t="s">
        <v>40</v>
      </c>
      <c r="W70" s="2" t="s">
        <v>41</v>
      </c>
      <c r="X70" s="2" t="s">
        <v>42</v>
      </c>
      <c r="Y70" s="2" t="s">
        <v>43</v>
      </c>
    </row>
    <row r="71" spans="1:27" ht="15">
      <c r="A71" s="2" t="s">
        <v>17</v>
      </c>
      <c r="B71" s="2" t="s">
        <v>8</v>
      </c>
      <c r="C71" s="2">
        <v>1</v>
      </c>
      <c r="D71" s="2">
        <v>30.68</v>
      </c>
      <c r="E71" s="2">
        <v>2006</v>
      </c>
      <c r="F71" s="2" t="s">
        <v>9</v>
      </c>
      <c r="G71" s="2">
        <v>9</v>
      </c>
      <c r="H71" s="2">
        <v>30.68</v>
      </c>
      <c r="I71" s="2">
        <v>30.68</v>
      </c>
      <c r="J71" s="2">
        <v>30.68</v>
      </c>
      <c r="K71" s="2">
        <v>30.68</v>
      </c>
      <c r="L71" s="2">
        <v>30.68</v>
      </c>
      <c r="M71" s="2">
        <v>0</v>
      </c>
      <c r="N71" s="2">
        <v>30.68</v>
      </c>
      <c r="O71" s="2">
        <v>30.68</v>
      </c>
      <c r="P71" s="2">
        <v>0</v>
      </c>
      <c r="Q71" s="2">
        <v>30.68</v>
      </c>
      <c r="R71" s="2">
        <v>0</v>
      </c>
      <c r="S71" s="2">
        <v>30.68</v>
      </c>
      <c r="T71" s="2"/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</row>
    <row r="72" spans="1:27" ht="15">
      <c r="A72" s="2" t="s">
        <v>17</v>
      </c>
      <c r="B72" s="2" t="s">
        <v>8</v>
      </c>
      <c r="C72" s="2">
        <v>2</v>
      </c>
      <c r="D72" s="4">
        <v>13.39</v>
      </c>
      <c r="E72" s="2">
        <v>2006</v>
      </c>
      <c r="F72" s="2" t="s">
        <v>9</v>
      </c>
      <c r="G72" s="2">
        <v>9</v>
      </c>
      <c r="H72" s="4">
        <v>13.39</v>
      </c>
      <c r="I72" s="4">
        <v>13.39</v>
      </c>
      <c r="J72" s="4">
        <v>13.39</v>
      </c>
      <c r="K72" s="4">
        <v>13.39</v>
      </c>
      <c r="L72" s="4">
        <v>13.39</v>
      </c>
      <c r="M72" s="2">
        <v>0</v>
      </c>
      <c r="N72" s="4">
        <v>13.39</v>
      </c>
      <c r="O72" s="4">
        <v>13.39</v>
      </c>
      <c r="P72" s="2">
        <v>0</v>
      </c>
      <c r="Q72" s="4">
        <v>13.39</v>
      </c>
      <c r="R72" s="2">
        <v>0</v>
      </c>
      <c r="S72" s="4">
        <v>13.39</v>
      </c>
      <c r="T72" s="4"/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</row>
    <row r="73" spans="1:27" ht="15">
      <c r="A73" s="2" t="s">
        <v>17</v>
      </c>
      <c r="B73" s="2" t="s">
        <v>8</v>
      </c>
      <c r="C73" s="2">
        <v>3</v>
      </c>
      <c r="D73" s="2">
        <v>23.41</v>
      </c>
      <c r="E73" s="2">
        <v>2006</v>
      </c>
      <c r="F73" s="2" t="s">
        <v>9</v>
      </c>
      <c r="G73" s="2">
        <v>9</v>
      </c>
      <c r="H73" s="2">
        <v>23.41</v>
      </c>
      <c r="I73" s="2">
        <v>23.41</v>
      </c>
      <c r="J73" s="2">
        <v>23.41</v>
      </c>
      <c r="K73" s="2">
        <v>23.41</v>
      </c>
      <c r="L73" s="2">
        <v>23.41</v>
      </c>
      <c r="M73" s="2">
        <v>0</v>
      </c>
      <c r="N73" s="2">
        <v>23.41</v>
      </c>
      <c r="O73" s="2">
        <v>23.41</v>
      </c>
      <c r="P73" s="2">
        <v>0</v>
      </c>
      <c r="Q73" s="2">
        <v>23.41</v>
      </c>
      <c r="R73" s="2">
        <v>0</v>
      </c>
      <c r="S73" s="2">
        <v>23.41</v>
      </c>
      <c r="T73" s="2"/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</row>
    <row r="74" spans="1:27" ht="15">
      <c r="A74" s="2" t="s">
        <v>17</v>
      </c>
      <c r="B74" s="2" t="s">
        <v>8</v>
      </c>
      <c r="C74" s="2">
        <v>4</v>
      </c>
      <c r="D74" s="2">
        <v>17.1</v>
      </c>
      <c r="E74" s="2">
        <v>2003</v>
      </c>
      <c r="F74" s="2" t="s">
        <v>11</v>
      </c>
      <c r="G74" s="2">
        <v>12</v>
      </c>
      <c r="H74" s="2">
        <v>17.1</v>
      </c>
      <c r="I74" s="2">
        <v>17.1</v>
      </c>
      <c r="J74" s="2">
        <v>17.1</v>
      </c>
      <c r="K74" s="2">
        <v>17.1</v>
      </c>
      <c r="L74" s="2">
        <v>17.1</v>
      </c>
      <c r="M74" s="2"/>
      <c r="N74" s="2">
        <v>17.1</v>
      </c>
      <c r="O74" s="2">
        <v>17.1</v>
      </c>
      <c r="P74" s="2"/>
      <c r="Q74" s="2">
        <v>17.1</v>
      </c>
      <c r="R74" s="2"/>
      <c r="S74" s="2">
        <v>17.1</v>
      </c>
      <c r="T74" s="2"/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</row>
    <row r="75" spans="1:27" ht="15">
      <c r="A75" s="2"/>
      <c r="B75" s="2"/>
      <c r="C75" s="2"/>
      <c r="D75" s="2">
        <f>SUM(D71:D74)</f>
        <v>84.58000000000001</v>
      </c>
      <c r="E75" s="2"/>
      <c r="F75" s="2"/>
      <c r="G75" s="2"/>
      <c r="H75" s="2">
        <f aca="true" t="shared" si="11" ref="H75:AA75">SUM(H71:H74)</f>
        <v>84.58000000000001</v>
      </c>
      <c r="I75" s="2">
        <f t="shared" si="11"/>
        <v>84.58000000000001</v>
      </c>
      <c r="J75" s="2">
        <f t="shared" si="11"/>
        <v>84.58000000000001</v>
      </c>
      <c r="K75" s="2">
        <f t="shared" si="11"/>
        <v>84.58000000000001</v>
      </c>
      <c r="L75" s="2">
        <f t="shared" si="11"/>
        <v>84.58000000000001</v>
      </c>
      <c r="M75" s="2">
        <f t="shared" si="11"/>
        <v>0</v>
      </c>
      <c r="N75" s="2">
        <f t="shared" si="11"/>
        <v>84.58000000000001</v>
      </c>
      <c r="O75" s="2">
        <f t="shared" si="11"/>
        <v>84.58000000000001</v>
      </c>
      <c r="P75" s="2">
        <f t="shared" si="11"/>
        <v>0</v>
      </c>
      <c r="Q75" s="2">
        <f t="shared" si="11"/>
        <v>84.58000000000001</v>
      </c>
      <c r="R75" s="2">
        <f t="shared" si="11"/>
        <v>0</v>
      </c>
      <c r="S75" s="2">
        <f t="shared" si="11"/>
        <v>84.58000000000001</v>
      </c>
      <c r="T75" s="2">
        <f t="shared" si="11"/>
        <v>0</v>
      </c>
      <c r="U75" s="2">
        <f t="shared" si="11"/>
        <v>0</v>
      </c>
      <c r="V75" s="2">
        <f t="shared" si="11"/>
        <v>0</v>
      </c>
      <c r="W75" s="2">
        <f t="shared" si="11"/>
        <v>0</v>
      </c>
      <c r="X75" s="2">
        <f t="shared" si="11"/>
        <v>0</v>
      </c>
      <c r="Y75" s="2">
        <f t="shared" si="11"/>
        <v>0</v>
      </c>
      <c r="Z75" s="2">
        <f t="shared" si="11"/>
        <v>0</v>
      </c>
      <c r="AA75" s="2">
        <f t="shared" si="11"/>
        <v>0</v>
      </c>
    </row>
    <row r="77" spans="1:3" ht="15">
      <c r="A77" t="s">
        <v>0</v>
      </c>
      <c r="C77" t="s">
        <v>19</v>
      </c>
    </row>
    <row r="78" spans="8:27" ht="15">
      <c r="H78" s="2" t="s">
        <v>26</v>
      </c>
      <c r="I78" s="2" t="s">
        <v>27</v>
      </c>
      <c r="J78" s="2" t="s">
        <v>28</v>
      </c>
      <c r="K78" s="2"/>
      <c r="L78" s="2"/>
      <c r="M78" s="2"/>
      <c r="N78" s="2" t="s">
        <v>29</v>
      </c>
      <c r="O78" s="2"/>
      <c r="P78" s="2"/>
      <c r="Q78" s="2" t="s">
        <v>30</v>
      </c>
      <c r="R78" s="2" t="s">
        <v>30</v>
      </c>
      <c r="S78" s="2" t="s">
        <v>31</v>
      </c>
      <c r="T78" s="2"/>
      <c r="U78" s="2" t="s">
        <v>32</v>
      </c>
      <c r="V78" s="2" t="s">
        <v>32</v>
      </c>
      <c r="W78" s="2"/>
      <c r="X78" s="2"/>
      <c r="Y78" s="2"/>
      <c r="Z78" s="2"/>
      <c r="AA78" s="2"/>
    </row>
    <row r="79" spans="1:27" ht="15">
      <c r="A79" s="2" t="s">
        <v>2</v>
      </c>
      <c r="B79" s="2" t="s">
        <v>3</v>
      </c>
      <c r="C79" s="2" t="s">
        <v>4</v>
      </c>
      <c r="D79" s="2" t="s">
        <v>5</v>
      </c>
      <c r="E79" s="2" t="s">
        <v>6</v>
      </c>
      <c r="F79" s="2" t="s">
        <v>7</v>
      </c>
      <c r="G79" s="1" t="s">
        <v>25</v>
      </c>
      <c r="H79" s="2"/>
      <c r="I79" s="2"/>
      <c r="J79" s="2" t="s">
        <v>33</v>
      </c>
      <c r="K79" s="2" t="s">
        <v>34</v>
      </c>
      <c r="L79" s="2" t="s">
        <v>35</v>
      </c>
      <c r="M79" s="2" t="s">
        <v>36</v>
      </c>
      <c r="N79" s="2" t="s">
        <v>33</v>
      </c>
      <c r="O79" s="2" t="s">
        <v>34</v>
      </c>
      <c r="P79" s="2" t="s">
        <v>35</v>
      </c>
      <c r="Q79" s="2" t="s">
        <v>33</v>
      </c>
      <c r="R79" s="2" t="s">
        <v>37</v>
      </c>
      <c r="S79" s="2" t="s">
        <v>38</v>
      </c>
      <c r="T79" s="2"/>
      <c r="U79" s="2" t="s">
        <v>38</v>
      </c>
      <c r="V79" s="2" t="s">
        <v>39</v>
      </c>
      <c r="W79" s="2" t="s">
        <v>38</v>
      </c>
      <c r="X79" s="2" t="s">
        <v>40</v>
      </c>
      <c r="Y79" s="2" t="s">
        <v>41</v>
      </c>
      <c r="Z79" s="2" t="s">
        <v>42</v>
      </c>
      <c r="AA79" s="2" t="s">
        <v>43</v>
      </c>
    </row>
    <row r="80" spans="1:27" ht="15">
      <c r="A80" s="2" t="s">
        <v>19</v>
      </c>
      <c r="B80" s="2" t="s">
        <v>8</v>
      </c>
      <c r="C80" s="2">
        <v>1</v>
      </c>
      <c r="D80" s="2">
        <v>21.4</v>
      </c>
      <c r="E80" s="2">
        <v>2007</v>
      </c>
      <c r="F80" s="2" t="s">
        <v>9</v>
      </c>
      <c r="G80" s="2">
        <v>13</v>
      </c>
      <c r="H80" s="2">
        <v>21.4</v>
      </c>
      <c r="I80" s="2">
        <v>21.4</v>
      </c>
      <c r="J80" s="2">
        <v>21.4</v>
      </c>
      <c r="K80" s="2">
        <v>21.4</v>
      </c>
      <c r="L80" s="2">
        <v>21.4</v>
      </c>
      <c r="M80" s="2">
        <v>0</v>
      </c>
      <c r="N80" s="2">
        <v>21.4</v>
      </c>
      <c r="O80" s="2">
        <v>21.4</v>
      </c>
      <c r="P80" s="2">
        <v>0</v>
      </c>
      <c r="Q80" s="2">
        <v>21.4</v>
      </c>
      <c r="R80" s="2">
        <v>0</v>
      </c>
      <c r="S80" s="2">
        <v>21.4</v>
      </c>
      <c r="T80" s="2"/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</row>
    <row r="81" spans="1:27" ht="15">
      <c r="A81" s="2" t="s">
        <v>19</v>
      </c>
      <c r="B81" s="2" t="s">
        <v>8</v>
      </c>
      <c r="C81" s="2">
        <v>2</v>
      </c>
      <c r="D81" s="2">
        <v>25.5</v>
      </c>
      <c r="E81" s="2">
        <v>2006</v>
      </c>
      <c r="F81" s="2" t="s">
        <v>9</v>
      </c>
      <c r="G81" s="2">
        <v>12</v>
      </c>
      <c r="H81" s="2">
        <v>25.5</v>
      </c>
      <c r="I81" s="2">
        <v>25.5</v>
      </c>
      <c r="J81" s="2">
        <v>25.5</v>
      </c>
      <c r="K81" s="2">
        <v>25.5</v>
      </c>
      <c r="L81" s="2">
        <v>25.5</v>
      </c>
      <c r="M81" s="2">
        <v>0</v>
      </c>
      <c r="N81" s="2">
        <v>25.5</v>
      </c>
      <c r="O81" s="2">
        <v>25.5</v>
      </c>
      <c r="P81" s="2">
        <v>0</v>
      </c>
      <c r="Q81" s="2">
        <v>25.5</v>
      </c>
      <c r="R81" s="2">
        <v>0</v>
      </c>
      <c r="S81" s="2">
        <v>25.5</v>
      </c>
      <c r="T81" s="2"/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</row>
    <row r="82" spans="1:27" ht="15">
      <c r="A82" s="2" t="s">
        <v>19</v>
      </c>
      <c r="B82" s="2" t="s">
        <v>8</v>
      </c>
      <c r="C82" s="2">
        <v>3</v>
      </c>
      <c r="D82" s="2">
        <v>18.24</v>
      </c>
      <c r="E82" s="2">
        <v>2007</v>
      </c>
      <c r="F82" s="2" t="s">
        <v>9</v>
      </c>
      <c r="G82" s="2">
        <v>13</v>
      </c>
      <c r="H82" s="2">
        <v>18.24</v>
      </c>
      <c r="I82" s="2">
        <v>18.24</v>
      </c>
      <c r="J82" s="2">
        <v>18.24</v>
      </c>
      <c r="K82" s="2">
        <v>18.24</v>
      </c>
      <c r="L82" s="2">
        <v>18.24</v>
      </c>
      <c r="M82" s="2">
        <v>0</v>
      </c>
      <c r="N82" s="2">
        <v>18.24</v>
      </c>
      <c r="O82" s="2">
        <v>18.24</v>
      </c>
      <c r="P82" s="2">
        <v>0</v>
      </c>
      <c r="Q82" s="2">
        <v>18.24</v>
      </c>
      <c r="R82" s="2">
        <v>0</v>
      </c>
      <c r="S82" s="2">
        <v>18.24</v>
      </c>
      <c r="T82" s="2"/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</row>
    <row r="83" spans="1:27" ht="15">
      <c r="A83" s="2" t="s">
        <v>19</v>
      </c>
      <c r="B83" s="2" t="s">
        <v>8</v>
      </c>
      <c r="C83" s="2">
        <v>4</v>
      </c>
      <c r="D83" s="2">
        <v>20.44</v>
      </c>
      <c r="E83" s="2">
        <v>2006</v>
      </c>
      <c r="F83" s="2" t="s">
        <v>9</v>
      </c>
      <c r="G83" s="2">
        <v>12</v>
      </c>
      <c r="H83" s="2">
        <v>20.44</v>
      </c>
      <c r="I83" s="2">
        <v>20.44</v>
      </c>
      <c r="J83" s="2">
        <v>20.44</v>
      </c>
      <c r="K83" s="2">
        <v>20.44</v>
      </c>
      <c r="L83" s="2">
        <v>20.44</v>
      </c>
      <c r="M83" s="2">
        <v>0</v>
      </c>
      <c r="N83" s="2">
        <v>20.44</v>
      </c>
      <c r="O83" s="2">
        <v>20.44</v>
      </c>
      <c r="P83" s="2">
        <v>0</v>
      </c>
      <c r="Q83" s="2">
        <v>20.44</v>
      </c>
      <c r="R83" s="2">
        <v>0</v>
      </c>
      <c r="S83" s="2">
        <v>20.44</v>
      </c>
      <c r="T83" s="2"/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</row>
    <row r="84" spans="1:27" ht="15">
      <c r="A84" s="2" t="s">
        <v>19</v>
      </c>
      <c r="B84" s="2" t="s">
        <v>8</v>
      </c>
      <c r="C84" s="2">
        <v>5</v>
      </c>
      <c r="D84" s="2">
        <v>25.38</v>
      </c>
      <c r="E84" s="2">
        <v>2007</v>
      </c>
      <c r="F84" s="2" t="s">
        <v>9</v>
      </c>
      <c r="G84" s="2">
        <v>13</v>
      </c>
      <c r="H84" s="2">
        <v>25.38</v>
      </c>
      <c r="I84" s="2">
        <v>25.38</v>
      </c>
      <c r="J84" s="2">
        <v>25.38</v>
      </c>
      <c r="K84" s="2">
        <v>25.38</v>
      </c>
      <c r="L84" s="2">
        <v>25.38</v>
      </c>
      <c r="M84" s="2">
        <v>0</v>
      </c>
      <c r="N84" s="2">
        <v>25.38</v>
      </c>
      <c r="O84" s="2">
        <v>25.38</v>
      </c>
      <c r="P84" s="2">
        <v>0</v>
      </c>
      <c r="Q84" s="2">
        <v>25.38</v>
      </c>
      <c r="R84" s="2">
        <v>0</v>
      </c>
      <c r="S84" s="2">
        <v>25.38</v>
      </c>
      <c r="T84" s="2"/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</row>
    <row r="85" spans="1:27" ht="15">
      <c r="A85" s="2" t="s">
        <v>19</v>
      </c>
      <c r="B85" s="2" t="s">
        <v>8</v>
      </c>
      <c r="C85" s="2">
        <v>6</v>
      </c>
      <c r="D85" s="2">
        <v>10.53</v>
      </c>
      <c r="E85" s="2">
        <v>2007</v>
      </c>
      <c r="F85" s="2" t="s">
        <v>9</v>
      </c>
      <c r="G85" s="2">
        <v>13</v>
      </c>
      <c r="H85" s="2">
        <v>10.53</v>
      </c>
      <c r="I85" s="2">
        <v>10.53</v>
      </c>
      <c r="J85" s="2">
        <v>10.53</v>
      </c>
      <c r="K85" s="2">
        <v>10.53</v>
      </c>
      <c r="L85" s="2">
        <v>10.53</v>
      </c>
      <c r="M85" s="2">
        <v>0</v>
      </c>
      <c r="N85" s="2">
        <v>10.53</v>
      </c>
      <c r="O85" s="2">
        <v>10.53</v>
      </c>
      <c r="P85" s="2">
        <v>0</v>
      </c>
      <c r="Q85" s="2">
        <v>10.53</v>
      </c>
      <c r="R85" s="2">
        <v>0</v>
      </c>
      <c r="S85" s="2">
        <v>10.53</v>
      </c>
      <c r="T85" s="2"/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</row>
    <row r="86" spans="1:27" ht="15">
      <c r="A86" s="2" t="s">
        <v>19</v>
      </c>
      <c r="B86" s="2" t="s">
        <v>8</v>
      </c>
      <c r="C86" s="2">
        <v>7</v>
      </c>
      <c r="D86" s="2">
        <v>13.59</v>
      </c>
      <c r="E86" s="2">
        <v>2007</v>
      </c>
      <c r="F86" s="2" t="s">
        <v>9</v>
      </c>
      <c r="G86" s="2">
        <v>13</v>
      </c>
      <c r="H86" s="2">
        <v>13.59</v>
      </c>
      <c r="I86" s="2">
        <v>13.59</v>
      </c>
      <c r="J86" s="2">
        <v>13.59</v>
      </c>
      <c r="K86" s="2">
        <v>13.59</v>
      </c>
      <c r="L86" s="2">
        <v>13.59</v>
      </c>
      <c r="M86" s="2"/>
      <c r="N86" s="2">
        <v>13.59</v>
      </c>
      <c r="O86" s="2">
        <v>13.59</v>
      </c>
      <c r="P86" s="2"/>
      <c r="Q86" s="2">
        <v>13.59</v>
      </c>
      <c r="R86" s="2"/>
      <c r="S86" s="2">
        <v>13.59</v>
      </c>
      <c r="T86" s="2"/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</row>
    <row r="87" spans="1:27" ht="15">
      <c r="A87" s="2"/>
      <c r="B87" s="2"/>
      <c r="C87" s="2"/>
      <c r="D87" s="2">
        <f>SUM(D80:D86)</f>
        <v>135.07999999999998</v>
      </c>
      <c r="E87" s="2"/>
      <c r="F87" s="2"/>
      <c r="G87" s="2"/>
      <c r="H87" s="2">
        <f>SUM(H80:H86)</f>
        <v>135.07999999999998</v>
      </c>
      <c r="I87" s="2">
        <f aca="true" t="shared" si="12" ref="I87:AA87">SUM(I80:I86)</f>
        <v>135.07999999999998</v>
      </c>
      <c r="J87" s="2">
        <f t="shared" si="12"/>
        <v>135.07999999999998</v>
      </c>
      <c r="K87" s="2">
        <f t="shared" si="12"/>
        <v>135.07999999999998</v>
      </c>
      <c r="L87" s="2">
        <f t="shared" si="12"/>
        <v>135.07999999999998</v>
      </c>
      <c r="M87" s="2">
        <f t="shared" si="12"/>
        <v>0</v>
      </c>
      <c r="N87" s="2">
        <f t="shared" si="12"/>
        <v>135.07999999999998</v>
      </c>
      <c r="O87" s="2">
        <f t="shared" si="12"/>
        <v>135.07999999999998</v>
      </c>
      <c r="P87" s="2">
        <f t="shared" si="12"/>
        <v>0</v>
      </c>
      <c r="Q87" s="2">
        <f t="shared" si="12"/>
        <v>135.07999999999998</v>
      </c>
      <c r="R87" s="2">
        <f t="shared" si="12"/>
        <v>0</v>
      </c>
      <c r="S87" s="2">
        <f t="shared" si="12"/>
        <v>135.07999999999998</v>
      </c>
      <c r="T87" s="2">
        <f t="shared" si="12"/>
        <v>0</v>
      </c>
      <c r="U87" s="2">
        <f t="shared" si="12"/>
        <v>0</v>
      </c>
      <c r="V87" s="2">
        <f t="shared" si="12"/>
        <v>0</v>
      </c>
      <c r="W87" s="2">
        <f t="shared" si="12"/>
        <v>0</v>
      </c>
      <c r="X87" s="2">
        <f t="shared" si="12"/>
        <v>0</v>
      </c>
      <c r="Y87" s="2">
        <f t="shared" si="12"/>
        <v>0</v>
      </c>
      <c r="Z87" s="2">
        <f t="shared" si="12"/>
        <v>0</v>
      </c>
      <c r="AA87" s="2">
        <f t="shared" si="12"/>
        <v>0</v>
      </c>
    </row>
    <row r="88" spans="1:27" ht="15">
      <c r="A88" t="s">
        <v>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5">
      <c r="C89" t="s">
        <v>20</v>
      </c>
    </row>
    <row r="90" spans="8:27" ht="15">
      <c r="H90" s="2" t="s">
        <v>26</v>
      </c>
      <c r="I90" s="2" t="s">
        <v>27</v>
      </c>
      <c r="J90" s="2" t="s">
        <v>28</v>
      </c>
      <c r="K90" s="2"/>
      <c r="L90" s="2"/>
      <c r="M90" s="2"/>
      <c r="N90" s="2" t="s">
        <v>29</v>
      </c>
      <c r="O90" s="2"/>
      <c r="P90" s="2"/>
      <c r="Q90" s="2" t="s">
        <v>30</v>
      </c>
      <c r="R90" s="2" t="s">
        <v>30</v>
      </c>
      <c r="S90" s="2" t="s">
        <v>31</v>
      </c>
      <c r="T90" s="2"/>
      <c r="U90" s="2" t="s">
        <v>32</v>
      </c>
      <c r="V90" s="2" t="s">
        <v>32</v>
      </c>
      <c r="W90" s="2"/>
      <c r="X90" s="2"/>
      <c r="Y90" s="2"/>
      <c r="Z90" s="2"/>
      <c r="AA90" s="2"/>
    </row>
    <row r="91" spans="1:27" ht="15">
      <c r="A91" s="2" t="s">
        <v>2</v>
      </c>
      <c r="B91" s="2" t="s">
        <v>3</v>
      </c>
      <c r="C91" s="2" t="s">
        <v>4</v>
      </c>
      <c r="D91" s="2" t="s">
        <v>5</v>
      </c>
      <c r="E91" s="2" t="s">
        <v>6</v>
      </c>
      <c r="F91" s="2" t="s">
        <v>7</v>
      </c>
      <c r="G91" s="1" t="s">
        <v>25</v>
      </c>
      <c r="H91" s="2"/>
      <c r="I91" s="2"/>
      <c r="J91" s="2" t="s">
        <v>33</v>
      </c>
      <c r="K91" s="2" t="s">
        <v>34</v>
      </c>
      <c r="L91" s="2" t="s">
        <v>35</v>
      </c>
      <c r="M91" s="2" t="s">
        <v>36</v>
      </c>
      <c r="N91" s="2" t="s">
        <v>33</v>
      </c>
      <c r="O91" s="2" t="s">
        <v>34</v>
      </c>
      <c r="P91" s="2" t="s">
        <v>35</v>
      </c>
      <c r="Q91" s="2" t="s">
        <v>33</v>
      </c>
      <c r="R91" s="2" t="s">
        <v>37</v>
      </c>
      <c r="S91" s="2" t="s">
        <v>38</v>
      </c>
      <c r="T91" s="2"/>
      <c r="U91" s="2" t="s">
        <v>38</v>
      </c>
      <c r="V91" s="2" t="s">
        <v>39</v>
      </c>
      <c r="W91" s="2" t="s">
        <v>38</v>
      </c>
      <c r="X91" s="2" t="s">
        <v>40</v>
      </c>
      <c r="Y91" s="2" t="s">
        <v>41</v>
      </c>
      <c r="Z91" s="2" t="s">
        <v>42</v>
      </c>
      <c r="AA91" s="2" t="s">
        <v>43</v>
      </c>
    </row>
    <row r="92" spans="1:27" ht="15">
      <c r="A92" s="2" t="s">
        <v>20</v>
      </c>
      <c r="B92" s="2" t="s">
        <v>8</v>
      </c>
      <c r="C92" s="2">
        <v>1</v>
      </c>
      <c r="D92" s="194"/>
      <c r="E92" s="2">
        <v>2003</v>
      </c>
      <c r="F92" s="2" t="s">
        <v>9</v>
      </c>
      <c r="G92" s="2">
        <v>13</v>
      </c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</row>
    <row r="93" spans="1:27" ht="15">
      <c r="A93" s="2" t="s">
        <v>20</v>
      </c>
      <c r="B93" s="2" t="s">
        <v>8</v>
      </c>
      <c r="C93" s="2">
        <v>2</v>
      </c>
      <c r="D93" s="194"/>
      <c r="E93" s="2">
        <v>2003</v>
      </c>
      <c r="F93" s="2" t="s">
        <v>9</v>
      </c>
      <c r="G93" s="2">
        <v>13</v>
      </c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</row>
    <row r="94" spans="1:27" ht="15">
      <c r="A94" s="2" t="s">
        <v>20</v>
      </c>
      <c r="B94" s="2" t="s">
        <v>8</v>
      </c>
      <c r="C94" s="2">
        <v>3</v>
      </c>
      <c r="D94" s="194"/>
      <c r="E94" s="2">
        <v>2003</v>
      </c>
      <c r="F94" s="2" t="s">
        <v>9</v>
      </c>
      <c r="G94" s="2">
        <v>13</v>
      </c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</row>
    <row r="95" spans="1:27" ht="15">
      <c r="A95" s="2" t="s">
        <v>20</v>
      </c>
      <c r="B95" s="2" t="s">
        <v>8</v>
      </c>
      <c r="C95" s="2">
        <v>4</v>
      </c>
      <c r="D95" s="194"/>
      <c r="E95" s="2">
        <v>2003</v>
      </c>
      <c r="F95" s="2" t="s">
        <v>9</v>
      </c>
      <c r="G95" s="2">
        <v>13</v>
      </c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</row>
    <row r="96" spans="1:27" ht="15">
      <c r="A96" s="2" t="s">
        <v>20</v>
      </c>
      <c r="B96" s="2" t="s">
        <v>8</v>
      </c>
      <c r="C96" s="2">
        <v>5</v>
      </c>
      <c r="D96" s="194"/>
      <c r="E96" s="2">
        <v>2003</v>
      </c>
      <c r="F96" s="2" t="s">
        <v>9</v>
      </c>
      <c r="G96" s="2">
        <v>13</v>
      </c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</row>
    <row r="97" spans="1:27" ht="15">
      <c r="A97" s="2" t="s">
        <v>20</v>
      </c>
      <c r="B97" s="2" t="s">
        <v>8</v>
      </c>
      <c r="C97" s="2">
        <v>6</v>
      </c>
      <c r="D97" s="194"/>
      <c r="E97" s="2">
        <v>2004</v>
      </c>
      <c r="F97" s="2" t="s">
        <v>9</v>
      </c>
      <c r="G97" s="2">
        <v>112</v>
      </c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</row>
    <row r="98" spans="1:27" ht="15">
      <c r="A98" s="2" t="s">
        <v>20</v>
      </c>
      <c r="B98" s="2" t="s">
        <v>8</v>
      </c>
      <c r="C98" s="2">
        <v>7</v>
      </c>
      <c r="D98" s="194"/>
      <c r="E98" s="2">
        <v>2004</v>
      </c>
      <c r="F98" s="2" t="s">
        <v>9</v>
      </c>
      <c r="G98" s="2">
        <v>12</v>
      </c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</row>
    <row r="99" spans="1:27" ht="15">
      <c r="A99" s="2"/>
      <c r="B99" s="2"/>
      <c r="C99" s="2"/>
      <c r="D99" s="2">
        <f>SUM(D92:D98)</f>
        <v>0</v>
      </c>
      <c r="E99" s="2"/>
      <c r="F99" s="2"/>
      <c r="G99" s="2"/>
      <c r="H99" s="2">
        <f>SUM(H92:H98)</f>
        <v>0</v>
      </c>
      <c r="I99" s="2">
        <f aca="true" t="shared" si="13" ref="I99:S99">SUM(I92:I98)</f>
        <v>0</v>
      </c>
      <c r="J99" s="2">
        <f t="shared" si="13"/>
        <v>0</v>
      </c>
      <c r="K99" s="2">
        <f t="shared" si="13"/>
        <v>0</v>
      </c>
      <c r="L99" s="2">
        <f t="shared" si="13"/>
        <v>0</v>
      </c>
      <c r="M99" s="2">
        <f>SUM(M92:M98)</f>
        <v>0</v>
      </c>
      <c r="N99" s="2">
        <f t="shared" si="13"/>
        <v>0</v>
      </c>
      <c r="O99" s="2">
        <f t="shared" si="13"/>
        <v>0</v>
      </c>
      <c r="P99" s="2">
        <f>SUM(P92:P98)</f>
        <v>0</v>
      </c>
      <c r="Q99" s="2">
        <f t="shared" si="13"/>
        <v>0</v>
      </c>
      <c r="R99" s="2">
        <f>SUM(R92:R98)</f>
        <v>0</v>
      </c>
      <c r="S99" s="2">
        <f t="shared" si="13"/>
        <v>0</v>
      </c>
      <c r="T99" s="2"/>
      <c r="U99" s="2">
        <f aca="true" t="shared" si="14" ref="U99:AA99">SUM(U92:U98)</f>
        <v>0</v>
      </c>
      <c r="V99" s="2">
        <f t="shared" si="14"/>
        <v>0</v>
      </c>
      <c r="W99" s="2">
        <f t="shared" si="14"/>
        <v>0</v>
      </c>
      <c r="X99" s="2">
        <f t="shared" si="14"/>
        <v>0</v>
      </c>
      <c r="Y99" s="2">
        <f t="shared" si="14"/>
        <v>0</v>
      </c>
      <c r="Z99" s="2">
        <f t="shared" si="14"/>
        <v>0</v>
      </c>
      <c r="AA99" s="2">
        <f t="shared" si="14"/>
        <v>0</v>
      </c>
    </row>
    <row r="102" spans="1:3" ht="15">
      <c r="A102" t="s">
        <v>0</v>
      </c>
      <c r="C102" t="s">
        <v>21</v>
      </c>
    </row>
    <row r="103" spans="8:27" ht="15">
      <c r="H103" s="2" t="s">
        <v>26</v>
      </c>
      <c r="I103" s="2" t="s">
        <v>27</v>
      </c>
      <c r="J103" s="2" t="s">
        <v>28</v>
      </c>
      <c r="K103" s="2"/>
      <c r="L103" s="2"/>
      <c r="M103" s="2"/>
      <c r="N103" s="2" t="s">
        <v>29</v>
      </c>
      <c r="O103" s="2"/>
      <c r="P103" s="2"/>
      <c r="Q103" s="2" t="s">
        <v>30</v>
      </c>
      <c r="R103" s="2" t="s">
        <v>30</v>
      </c>
      <c r="S103" s="2" t="s">
        <v>31</v>
      </c>
      <c r="T103" s="2"/>
      <c r="U103" s="2" t="s">
        <v>32</v>
      </c>
      <c r="V103" s="2" t="s">
        <v>32</v>
      </c>
      <c r="W103" s="2"/>
      <c r="X103" s="2"/>
      <c r="Y103" s="2"/>
      <c r="Z103" s="2"/>
      <c r="AA103" s="2"/>
    </row>
    <row r="104" spans="1:27" ht="15">
      <c r="A104" s="2" t="s">
        <v>2</v>
      </c>
      <c r="B104" s="2" t="s">
        <v>3</v>
      </c>
      <c r="C104" s="2" t="s">
        <v>4</v>
      </c>
      <c r="D104" s="2" t="s">
        <v>5</v>
      </c>
      <c r="E104" s="2" t="s">
        <v>6</v>
      </c>
      <c r="F104" s="2" t="s">
        <v>7</v>
      </c>
      <c r="G104" s="1" t="s">
        <v>25</v>
      </c>
      <c r="H104" s="2"/>
      <c r="I104" s="2"/>
      <c r="J104" s="2" t="s">
        <v>33</v>
      </c>
      <c r="K104" s="2" t="s">
        <v>34</v>
      </c>
      <c r="L104" s="2" t="s">
        <v>35</v>
      </c>
      <c r="M104" s="2" t="s">
        <v>36</v>
      </c>
      <c r="N104" s="2" t="s">
        <v>33</v>
      </c>
      <c r="O104" s="2" t="s">
        <v>34</v>
      </c>
      <c r="P104" s="2" t="s">
        <v>35</v>
      </c>
      <c r="Q104" s="2" t="s">
        <v>33</v>
      </c>
      <c r="R104" s="2" t="s">
        <v>37</v>
      </c>
      <c r="S104" s="2" t="s">
        <v>38</v>
      </c>
      <c r="T104" s="2"/>
      <c r="U104" s="2" t="s">
        <v>38</v>
      </c>
      <c r="V104" s="2" t="s">
        <v>39</v>
      </c>
      <c r="W104" s="2" t="s">
        <v>38</v>
      </c>
      <c r="X104" s="2" t="s">
        <v>40</v>
      </c>
      <c r="Y104" s="2" t="s">
        <v>41</v>
      </c>
      <c r="Z104" s="2" t="s">
        <v>42</v>
      </c>
      <c r="AA104" s="2" t="s">
        <v>43</v>
      </c>
    </row>
    <row r="105" spans="1:27" ht="15">
      <c r="A105" s="2" t="s">
        <v>21</v>
      </c>
      <c r="B105" s="2" t="s">
        <v>22</v>
      </c>
      <c r="C105" s="2">
        <v>1</v>
      </c>
      <c r="D105" s="194"/>
      <c r="E105" s="2">
        <v>2007</v>
      </c>
      <c r="F105" s="2" t="s">
        <v>9</v>
      </c>
      <c r="G105" s="2">
        <v>9</v>
      </c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</row>
    <row r="106" spans="1:27" ht="15">
      <c r="A106" s="2" t="s">
        <v>21</v>
      </c>
      <c r="B106" s="2" t="s">
        <v>22</v>
      </c>
      <c r="C106" s="2">
        <v>2</v>
      </c>
      <c r="D106" s="194"/>
      <c r="E106" s="2">
        <v>2007</v>
      </c>
      <c r="F106" s="2" t="s">
        <v>9</v>
      </c>
      <c r="G106" s="2">
        <v>9</v>
      </c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</row>
    <row r="107" spans="1:27" ht="15">
      <c r="A107" s="2" t="s">
        <v>21</v>
      </c>
      <c r="B107" s="2" t="s">
        <v>22</v>
      </c>
      <c r="C107" s="2">
        <v>3</v>
      </c>
      <c r="D107" s="194"/>
      <c r="E107" s="2">
        <v>2007</v>
      </c>
      <c r="F107" s="2" t="s">
        <v>9</v>
      </c>
      <c r="G107" s="2">
        <v>9</v>
      </c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</row>
    <row r="108" spans="1:27" ht="15">
      <c r="A108" s="2" t="s">
        <v>21</v>
      </c>
      <c r="B108" s="2" t="s">
        <v>22</v>
      </c>
      <c r="C108" s="4" t="s">
        <v>23</v>
      </c>
      <c r="D108" s="194"/>
      <c r="E108" s="2">
        <v>2009</v>
      </c>
      <c r="F108" s="2" t="s">
        <v>9</v>
      </c>
      <c r="G108" s="2">
        <v>7</v>
      </c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</row>
    <row r="109" spans="1:27" ht="15">
      <c r="A109" s="2" t="s">
        <v>21</v>
      </c>
      <c r="B109" s="2" t="s">
        <v>22</v>
      </c>
      <c r="C109" s="2">
        <v>4</v>
      </c>
      <c r="D109" s="194"/>
      <c r="E109" s="2">
        <v>2008</v>
      </c>
      <c r="F109" s="2" t="s">
        <v>9</v>
      </c>
      <c r="G109" s="2">
        <v>8</v>
      </c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</row>
    <row r="110" spans="1:27" ht="15">
      <c r="A110" s="2"/>
      <c r="B110" s="2"/>
      <c r="C110" s="2"/>
      <c r="D110" s="2">
        <f>SUM(D105:D109)</f>
        <v>0</v>
      </c>
      <c r="E110" s="2"/>
      <c r="F110" s="2"/>
      <c r="G110" s="2"/>
      <c r="H110" s="2">
        <f>SUM(H105:H109)</f>
        <v>0</v>
      </c>
      <c r="I110" s="2">
        <f aca="true" t="shared" si="15" ref="I110:S110">SUM(I105:I109)</f>
        <v>0</v>
      </c>
      <c r="J110" s="2">
        <f t="shared" si="15"/>
        <v>0</v>
      </c>
      <c r="K110" s="2">
        <f t="shared" si="15"/>
        <v>0</v>
      </c>
      <c r="L110" s="2">
        <f t="shared" si="15"/>
        <v>0</v>
      </c>
      <c r="M110" s="2">
        <f>SUM(M105:M109)</f>
        <v>0</v>
      </c>
      <c r="N110" s="2">
        <f t="shared" si="15"/>
        <v>0</v>
      </c>
      <c r="O110" s="2">
        <f t="shared" si="15"/>
        <v>0</v>
      </c>
      <c r="P110" s="2">
        <f>SUM(P105:P109)</f>
        <v>0</v>
      </c>
      <c r="Q110" s="2">
        <f t="shared" si="15"/>
        <v>0</v>
      </c>
      <c r="R110" s="2">
        <f>SUM(R105:R109)</f>
        <v>0</v>
      </c>
      <c r="S110" s="2">
        <f t="shared" si="15"/>
        <v>0</v>
      </c>
      <c r="T110" s="2"/>
      <c r="U110" s="2">
        <f aca="true" t="shared" si="16" ref="U110:AA110">SUM(U105:U109)</f>
        <v>0</v>
      </c>
      <c r="V110" s="2">
        <f t="shared" si="16"/>
        <v>0</v>
      </c>
      <c r="W110" s="2">
        <f t="shared" si="16"/>
        <v>0</v>
      </c>
      <c r="X110" s="2">
        <f t="shared" si="16"/>
        <v>0</v>
      </c>
      <c r="Y110" s="2">
        <f t="shared" si="16"/>
        <v>0</v>
      </c>
      <c r="Z110" s="2">
        <f t="shared" si="16"/>
        <v>0</v>
      </c>
      <c r="AA110" s="2">
        <f t="shared" si="16"/>
        <v>0</v>
      </c>
    </row>
    <row r="112" spans="1:3" ht="15">
      <c r="A112" t="s">
        <v>0</v>
      </c>
      <c r="C112" t="s">
        <v>24</v>
      </c>
    </row>
    <row r="113" spans="8:27" ht="15">
      <c r="H113" s="2" t="s">
        <v>26</v>
      </c>
      <c r="I113" s="2" t="s">
        <v>27</v>
      </c>
      <c r="J113" s="2" t="s">
        <v>28</v>
      </c>
      <c r="K113" s="2"/>
      <c r="L113" s="2"/>
      <c r="M113" s="2"/>
      <c r="N113" s="2" t="s">
        <v>29</v>
      </c>
      <c r="O113" s="2"/>
      <c r="P113" s="2"/>
      <c r="Q113" s="2" t="s">
        <v>30</v>
      </c>
      <c r="R113" s="2" t="s">
        <v>30</v>
      </c>
      <c r="S113" s="2" t="s">
        <v>31</v>
      </c>
      <c r="T113" s="2"/>
      <c r="U113" s="2" t="s">
        <v>32</v>
      </c>
      <c r="V113" s="2" t="s">
        <v>32</v>
      </c>
      <c r="W113" s="2"/>
      <c r="X113" s="2"/>
      <c r="Y113" s="2"/>
      <c r="Z113" s="2"/>
      <c r="AA113" s="2"/>
    </row>
    <row r="114" spans="1:27" ht="15">
      <c r="A114" s="2" t="s">
        <v>2</v>
      </c>
      <c r="B114" s="2" t="s">
        <v>3</v>
      </c>
      <c r="C114" s="2" t="s">
        <v>4</v>
      </c>
      <c r="D114" s="2" t="s">
        <v>5</v>
      </c>
      <c r="E114" s="2" t="s">
        <v>6</v>
      </c>
      <c r="F114" s="2" t="s">
        <v>7</v>
      </c>
      <c r="G114" s="1" t="s">
        <v>25</v>
      </c>
      <c r="H114" s="2"/>
      <c r="I114" s="2"/>
      <c r="J114" s="2" t="s">
        <v>33</v>
      </c>
      <c r="K114" s="2" t="s">
        <v>34</v>
      </c>
      <c r="L114" s="2" t="s">
        <v>35</v>
      </c>
      <c r="M114" s="2" t="s">
        <v>36</v>
      </c>
      <c r="N114" s="2" t="s">
        <v>33</v>
      </c>
      <c r="O114" s="2" t="s">
        <v>34</v>
      </c>
      <c r="P114" s="2" t="s">
        <v>35</v>
      </c>
      <c r="Q114" s="2" t="s">
        <v>33</v>
      </c>
      <c r="R114" s="2" t="s">
        <v>37</v>
      </c>
      <c r="S114" s="2" t="s">
        <v>38</v>
      </c>
      <c r="T114" s="2"/>
      <c r="U114" s="2" t="s">
        <v>38</v>
      </c>
      <c r="V114" s="2" t="s">
        <v>39</v>
      </c>
      <c r="W114" s="2" t="s">
        <v>38</v>
      </c>
      <c r="X114" s="2" t="s">
        <v>40</v>
      </c>
      <c r="Y114" s="2" t="s">
        <v>41</v>
      </c>
      <c r="Z114" s="2" t="s">
        <v>42</v>
      </c>
      <c r="AA114" s="2" t="s">
        <v>43</v>
      </c>
    </row>
    <row r="115" spans="1:27" ht="15">
      <c r="A115" s="2" t="s">
        <v>24</v>
      </c>
      <c r="B115" s="2" t="s">
        <v>8</v>
      </c>
      <c r="C115" s="2">
        <v>1</v>
      </c>
      <c r="D115" s="2">
        <v>8.37</v>
      </c>
      <c r="E115" s="2">
        <v>2006</v>
      </c>
      <c r="F115" s="2" t="s">
        <v>9</v>
      </c>
      <c r="G115" s="2">
        <v>10</v>
      </c>
      <c r="H115" s="2">
        <v>8.37</v>
      </c>
      <c r="I115" s="2">
        <v>8.37</v>
      </c>
      <c r="J115" s="2">
        <v>8.37</v>
      </c>
      <c r="K115" s="2">
        <v>8.37</v>
      </c>
      <c r="L115" s="2">
        <v>8.37</v>
      </c>
      <c r="M115" s="2">
        <v>0</v>
      </c>
      <c r="N115" s="2">
        <v>8.37</v>
      </c>
      <c r="O115" s="2">
        <v>8.37</v>
      </c>
      <c r="P115" s="2">
        <v>0</v>
      </c>
      <c r="Q115" s="2">
        <v>8.37</v>
      </c>
      <c r="R115" s="2">
        <v>0</v>
      </c>
      <c r="S115" s="2">
        <v>8.37</v>
      </c>
      <c r="T115" s="2"/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</row>
    <row r="116" spans="1:27" ht="15">
      <c r="A116" s="2" t="s">
        <v>24</v>
      </c>
      <c r="B116" s="2" t="s">
        <v>8</v>
      </c>
      <c r="C116" s="2">
        <v>2</v>
      </c>
      <c r="D116" s="2">
        <v>14.43</v>
      </c>
      <c r="E116" s="2">
        <v>2006</v>
      </c>
      <c r="F116" s="2" t="s">
        <v>9</v>
      </c>
      <c r="G116" s="2">
        <v>10</v>
      </c>
      <c r="H116" s="2">
        <v>14.43</v>
      </c>
      <c r="I116" s="2">
        <v>14.43</v>
      </c>
      <c r="J116" s="2">
        <v>14.43</v>
      </c>
      <c r="K116" s="2">
        <v>14.43</v>
      </c>
      <c r="L116" s="2">
        <v>14.43</v>
      </c>
      <c r="M116" s="2">
        <v>0</v>
      </c>
      <c r="N116" s="2">
        <v>14.43</v>
      </c>
      <c r="O116" s="2">
        <v>14.43</v>
      </c>
      <c r="P116" s="2">
        <v>0</v>
      </c>
      <c r="Q116" s="2">
        <v>14.43</v>
      </c>
      <c r="R116" s="2">
        <v>0</v>
      </c>
      <c r="S116" s="2">
        <v>14.43</v>
      </c>
      <c r="T116" s="2"/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</row>
    <row r="117" spans="1:27" ht="15">
      <c r="A117" s="2" t="s">
        <v>24</v>
      </c>
      <c r="B117" s="2" t="s">
        <v>8</v>
      </c>
      <c r="C117" s="2">
        <v>3</v>
      </c>
      <c r="D117" s="2">
        <v>20.8</v>
      </c>
      <c r="E117" s="2">
        <v>2006</v>
      </c>
      <c r="F117" s="2" t="s">
        <v>9</v>
      </c>
      <c r="G117" s="2">
        <v>10</v>
      </c>
      <c r="H117" s="2">
        <v>20.8</v>
      </c>
      <c r="I117" s="2">
        <v>20.8</v>
      </c>
      <c r="J117" s="2">
        <v>20.8</v>
      </c>
      <c r="K117" s="2">
        <v>20.8</v>
      </c>
      <c r="L117" s="2">
        <v>20.8</v>
      </c>
      <c r="M117" s="2">
        <v>0</v>
      </c>
      <c r="N117" s="2">
        <v>20.8</v>
      </c>
      <c r="O117" s="2">
        <v>20.8</v>
      </c>
      <c r="P117" s="2">
        <v>0</v>
      </c>
      <c r="Q117" s="2">
        <v>20.8</v>
      </c>
      <c r="R117" s="2">
        <v>0</v>
      </c>
      <c r="S117" s="2">
        <v>20.8</v>
      </c>
      <c r="T117" s="2"/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</row>
    <row r="118" spans="1:27" ht="15">
      <c r="A118" s="2" t="s">
        <v>24</v>
      </c>
      <c r="B118" s="2" t="s">
        <v>8</v>
      </c>
      <c r="C118" s="2">
        <v>4</v>
      </c>
      <c r="D118" s="2">
        <v>27.85</v>
      </c>
      <c r="E118" s="2">
        <v>2006</v>
      </c>
      <c r="F118" s="2" t="s">
        <v>9</v>
      </c>
      <c r="G118" s="2">
        <v>10</v>
      </c>
      <c r="H118" s="2">
        <v>27.85</v>
      </c>
      <c r="I118" s="2">
        <v>27.85</v>
      </c>
      <c r="J118" s="2">
        <v>27.85</v>
      </c>
      <c r="K118" s="2">
        <v>27.85</v>
      </c>
      <c r="L118" s="2">
        <v>27.85</v>
      </c>
      <c r="M118" s="2">
        <v>0</v>
      </c>
      <c r="N118" s="2">
        <v>27.85</v>
      </c>
      <c r="O118" s="2">
        <v>27.85</v>
      </c>
      <c r="P118" s="2">
        <v>0</v>
      </c>
      <c r="Q118" s="2">
        <v>27.85</v>
      </c>
      <c r="R118" s="2">
        <v>0</v>
      </c>
      <c r="S118" s="2">
        <v>27.85</v>
      </c>
      <c r="T118" s="2"/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</row>
    <row r="119" spans="1:27" ht="15">
      <c r="A119" s="2" t="s">
        <v>24</v>
      </c>
      <c r="B119" s="2" t="s">
        <v>8</v>
      </c>
      <c r="C119" s="2">
        <v>5</v>
      </c>
      <c r="D119" s="2">
        <v>20.43</v>
      </c>
      <c r="E119" s="2">
        <v>2006</v>
      </c>
      <c r="F119" s="2" t="s">
        <v>9</v>
      </c>
      <c r="G119" s="2">
        <v>10</v>
      </c>
      <c r="H119" s="2">
        <v>20.43</v>
      </c>
      <c r="I119" s="2">
        <v>20.43</v>
      </c>
      <c r="J119" s="2">
        <v>20.43</v>
      </c>
      <c r="K119" s="2">
        <v>20.43</v>
      </c>
      <c r="L119" s="2">
        <v>20.43</v>
      </c>
      <c r="M119" s="2">
        <v>0</v>
      </c>
      <c r="N119" s="2">
        <v>20.43</v>
      </c>
      <c r="O119" s="2">
        <v>20.43</v>
      </c>
      <c r="P119" s="2">
        <v>0</v>
      </c>
      <c r="Q119" s="2">
        <v>20.43</v>
      </c>
      <c r="R119" s="2">
        <v>0</v>
      </c>
      <c r="S119" s="2">
        <v>20.43</v>
      </c>
      <c r="T119" s="2"/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</row>
    <row r="120" spans="1:27" ht="15">
      <c r="A120" s="2"/>
      <c r="B120" s="2"/>
      <c r="C120" s="2"/>
      <c r="D120" s="2">
        <f>SUM(D115:D119)</f>
        <v>91.88</v>
      </c>
      <c r="E120" s="2"/>
      <c r="F120" s="2"/>
      <c r="G120" s="2"/>
      <c r="H120" s="2">
        <f>SUM(H115:H119)</f>
        <v>91.88</v>
      </c>
      <c r="I120" s="2">
        <f aca="true" t="shared" si="17" ref="I120:S120">SUM(I115:I119)</f>
        <v>91.88</v>
      </c>
      <c r="J120" s="2">
        <f t="shared" si="17"/>
        <v>91.88</v>
      </c>
      <c r="K120" s="2">
        <f t="shared" si="17"/>
        <v>91.88</v>
      </c>
      <c r="L120" s="2">
        <f t="shared" si="17"/>
        <v>91.88</v>
      </c>
      <c r="M120" s="2">
        <f>SUM(M115:M119)</f>
        <v>0</v>
      </c>
      <c r="N120" s="2">
        <f t="shared" si="17"/>
        <v>91.88</v>
      </c>
      <c r="O120" s="2">
        <f t="shared" si="17"/>
        <v>91.88</v>
      </c>
      <c r="P120" s="2">
        <f>SUM(P115:P119)</f>
        <v>0</v>
      </c>
      <c r="Q120" s="2">
        <f t="shared" si="17"/>
        <v>91.88</v>
      </c>
      <c r="R120" s="2">
        <f>SUM(R115:R119)</f>
        <v>0</v>
      </c>
      <c r="S120" s="2">
        <f t="shared" si="17"/>
        <v>91.88</v>
      </c>
      <c r="T120" s="2"/>
      <c r="U120" s="2">
        <f aca="true" t="shared" si="18" ref="U120:AA120">SUM(U115:U119)</f>
        <v>0</v>
      </c>
      <c r="V120" s="2">
        <f t="shared" si="18"/>
        <v>0</v>
      </c>
      <c r="W120" s="2">
        <f t="shared" si="18"/>
        <v>0</v>
      </c>
      <c r="X120" s="2">
        <f t="shared" si="18"/>
        <v>0</v>
      </c>
      <c r="Y120" s="2">
        <f t="shared" si="18"/>
        <v>0</v>
      </c>
      <c r="Z120" s="2">
        <f t="shared" si="18"/>
        <v>0</v>
      </c>
      <c r="AA120" s="2">
        <f t="shared" si="18"/>
        <v>0</v>
      </c>
    </row>
    <row r="121" spans="1:27" ht="15">
      <c r="A121" s="2" t="s">
        <v>51</v>
      </c>
      <c r="B121" s="2"/>
      <c r="C121" s="2"/>
      <c r="D121" s="2">
        <f>D120+D110+D99+D87+D75+D65+D54+D41+D29+D20+D11</f>
        <v>1085.1699999999998</v>
      </c>
      <c r="E121" s="2"/>
      <c r="F121" s="2"/>
      <c r="G121" s="2"/>
      <c r="H121" s="2">
        <f>H120+H110+H99+H87+H75+H65+H54+H41+H29+H20+H11</f>
        <v>1085.1699999999998</v>
      </c>
      <c r="I121" s="2">
        <f aca="true" t="shared" si="19" ref="I121:AA121">I120+I110+I99+I87+I75+I65+I54+I41+I29+I20+I11</f>
        <v>1085.1699999999998</v>
      </c>
      <c r="J121" s="2">
        <f t="shared" si="19"/>
        <v>1085.1699999999998</v>
      </c>
      <c r="K121" s="2">
        <f t="shared" si="19"/>
        <v>1085.1699999999998</v>
      </c>
      <c r="L121" s="2">
        <f t="shared" si="19"/>
        <v>1085.1699999999998</v>
      </c>
      <c r="M121" s="2">
        <f t="shared" si="19"/>
        <v>0</v>
      </c>
      <c r="N121" s="2">
        <f t="shared" si="19"/>
        <v>1085.1699999999998</v>
      </c>
      <c r="O121" s="2">
        <f t="shared" si="19"/>
        <v>1085.1699999999998</v>
      </c>
      <c r="P121" s="2">
        <f t="shared" si="19"/>
        <v>0</v>
      </c>
      <c r="Q121" s="2">
        <f t="shared" si="19"/>
        <v>1085.1699999999998</v>
      </c>
      <c r="R121" s="2">
        <f t="shared" si="19"/>
        <v>0</v>
      </c>
      <c r="S121" s="2">
        <f t="shared" si="19"/>
        <v>1085.1699999999998</v>
      </c>
      <c r="T121" s="2"/>
      <c r="U121" s="2">
        <f t="shared" si="19"/>
        <v>0</v>
      </c>
      <c r="V121" s="2">
        <f t="shared" si="19"/>
        <v>0</v>
      </c>
      <c r="W121" s="2">
        <f t="shared" si="19"/>
        <v>0</v>
      </c>
      <c r="X121" s="2">
        <f t="shared" si="19"/>
        <v>0</v>
      </c>
      <c r="Y121" s="2">
        <f t="shared" si="19"/>
        <v>0</v>
      </c>
      <c r="Z121" s="2">
        <f t="shared" si="19"/>
        <v>0</v>
      </c>
      <c r="AA121" s="2">
        <f t="shared" si="19"/>
        <v>0</v>
      </c>
    </row>
    <row r="122" spans="1:27" ht="15">
      <c r="A122" s="2" t="s">
        <v>65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>
        <f>SUM(J121:M121)</f>
        <v>3255.5099999999993</v>
      </c>
      <c r="N122" s="2"/>
      <c r="O122" s="2"/>
      <c r="P122" s="2">
        <f>SUM(N121:P121)</f>
        <v>2170.3399999999997</v>
      </c>
      <c r="Q122" s="2">
        <f>Q121</f>
        <v>1085.1699999999998</v>
      </c>
      <c r="R122" s="2">
        <f>R121</f>
        <v>0</v>
      </c>
      <c r="S122" s="2">
        <f>S121</f>
        <v>1085.1699999999998</v>
      </c>
      <c r="T122" s="2"/>
      <c r="U122" s="2">
        <f aca="true" t="shared" si="20" ref="U122:AA122">U121</f>
        <v>0</v>
      </c>
      <c r="V122" s="2">
        <f t="shared" si="20"/>
        <v>0</v>
      </c>
      <c r="W122" s="2">
        <f t="shared" si="20"/>
        <v>0</v>
      </c>
      <c r="X122" s="2">
        <f t="shared" si="20"/>
        <v>0</v>
      </c>
      <c r="Y122" s="2">
        <f t="shared" si="20"/>
        <v>0</v>
      </c>
      <c r="Z122" s="2">
        <f t="shared" si="20"/>
        <v>0</v>
      </c>
      <c r="AA122" s="2">
        <f t="shared" si="20"/>
        <v>0</v>
      </c>
    </row>
    <row r="125" spans="1:6" ht="15">
      <c r="A125" t="s">
        <v>52</v>
      </c>
      <c r="D125" t="s">
        <v>63</v>
      </c>
      <c r="E125" t="s">
        <v>64</v>
      </c>
      <c r="F125" t="s">
        <v>51</v>
      </c>
    </row>
    <row r="127" spans="1:6" ht="15">
      <c r="A127" t="s">
        <v>53</v>
      </c>
      <c r="D127" s="12">
        <f>H121</f>
        <v>1085.1699999999998</v>
      </c>
      <c r="F127" s="12"/>
    </row>
    <row r="128" spans="1:6" ht="15">
      <c r="A128" t="s">
        <v>54</v>
      </c>
      <c r="D128" s="12">
        <f>M122</f>
        <v>3255.5099999999993</v>
      </c>
      <c r="F128" s="12"/>
    </row>
    <row r="129" spans="1:6" ht="15">
      <c r="A129" t="s">
        <v>55</v>
      </c>
      <c r="D129" s="12">
        <f>P122</f>
        <v>2170.3399999999997</v>
      </c>
      <c r="F129" s="12"/>
    </row>
    <row r="130" spans="1:6" ht="15">
      <c r="A130" t="s">
        <v>56</v>
      </c>
      <c r="D130" s="12">
        <f>Q122</f>
        <v>1085.1699999999998</v>
      </c>
      <c r="F130" s="12"/>
    </row>
    <row r="131" spans="1:6" ht="15">
      <c r="A131" t="s">
        <v>60</v>
      </c>
      <c r="D131" s="12">
        <f>R122</f>
        <v>0</v>
      </c>
      <c r="F131" s="12"/>
    </row>
    <row r="132" spans="1:6" ht="15">
      <c r="A132" t="s">
        <v>57</v>
      </c>
      <c r="D132" s="12">
        <f>S122</f>
        <v>1085.1699999999998</v>
      </c>
      <c r="F132" s="12"/>
    </row>
    <row r="133" spans="1:6" ht="15">
      <c r="A133" t="s">
        <v>58</v>
      </c>
      <c r="D133" s="12">
        <f>U122</f>
        <v>0</v>
      </c>
      <c r="F133" s="12"/>
    </row>
    <row r="134" spans="1:6" ht="15">
      <c r="A134" t="s">
        <v>61</v>
      </c>
      <c r="D134" s="12">
        <f>V122</f>
        <v>0</v>
      </c>
      <c r="F134" s="12"/>
    </row>
    <row r="135" spans="1:6" ht="15">
      <c r="A135" t="s">
        <v>59</v>
      </c>
      <c r="D135" s="12">
        <f>W122</f>
        <v>0</v>
      </c>
      <c r="F135" s="12"/>
    </row>
    <row r="136" spans="1:6" ht="15">
      <c r="A136" t="s">
        <v>62</v>
      </c>
      <c r="D136" s="12">
        <f>X122</f>
        <v>0</v>
      </c>
      <c r="F136" s="12"/>
    </row>
    <row r="137" spans="1:6" ht="15">
      <c r="A137" t="s">
        <v>51</v>
      </c>
      <c r="F137" s="12">
        <f>SUM(F127:F136)</f>
        <v>0</v>
      </c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8" ht="15">
      <c r="A141" s="3"/>
      <c r="B141" s="3"/>
      <c r="C141" s="3"/>
      <c r="D141" s="3"/>
      <c r="E141" s="3"/>
      <c r="F141" s="3"/>
      <c r="G141" s="3"/>
      <c r="H141" s="3"/>
    </row>
    <row r="142" spans="1:8" ht="15">
      <c r="A142" s="3"/>
      <c r="B142" s="3"/>
      <c r="C142" s="3"/>
      <c r="D142" s="3"/>
      <c r="E142" s="3"/>
      <c r="F142" s="3"/>
      <c r="G142" s="3"/>
      <c r="H142" s="3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11"/>
  <sheetViews>
    <sheetView zoomScalePageLayoutView="0" workbookViewId="0" topLeftCell="A73">
      <selection activeCell="G114" sqref="G114"/>
    </sheetView>
  </sheetViews>
  <sheetFormatPr defaultColWidth="9.140625" defaultRowHeight="15"/>
  <cols>
    <col min="1" max="1" width="23.7109375" style="0" customWidth="1"/>
    <col min="2" max="2" width="15.140625" style="0" bestFit="1" customWidth="1"/>
    <col min="3" max="3" width="10.140625" style="0" customWidth="1"/>
    <col min="4" max="4" width="11.00390625" style="0" customWidth="1"/>
    <col min="5" max="5" width="16.28125" style="0" bestFit="1" customWidth="1"/>
    <col min="6" max="6" width="12.28125" style="0" customWidth="1"/>
    <col min="7" max="7" width="13.00390625" style="0" bestFit="1" customWidth="1"/>
    <col min="8" max="8" width="12.57421875" style="0" bestFit="1" customWidth="1"/>
    <col min="9" max="9" width="9.28125" style="0" bestFit="1" customWidth="1"/>
    <col min="10" max="10" width="9.7109375" style="0" bestFit="1" customWidth="1"/>
    <col min="11" max="11" width="10.8515625" style="0" bestFit="1" customWidth="1"/>
    <col min="12" max="12" width="9.28125" style="0" bestFit="1" customWidth="1"/>
    <col min="13" max="13" width="12.00390625" style="0" bestFit="1" customWidth="1"/>
    <col min="14" max="14" width="9.28125" style="0" bestFit="1" customWidth="1"/>
  </cols>
  <sheetData>
    <row r="2" spans="1:3" ht="15">
      <c r="A2" t="s">
        <v>0</v>
      </c>
      <c r="C2" t="s">
        <v>1</v>
      </c>
    </row>
    <row r="3" spans="8:27" ht="15">
      <c r="H3" s="2" t="s">
        <v>26</v>
      </c>
      <c r="I3" s="2" t="s">
        <v>27</v>
      </c>
      <c r="J3" s="2" t="s">
        <v>28</v>
      </c>
      <c r="K3" s="2"/>
      <c r="L3" s="2"/>
      <c r="M3" s="2"/>
      <c r="N3" s="2" t="s">
        <v>29</v>
      </c>
      <c r="O3" s="2"/>
      <c r="P3" s="2"/>
      <c r="Q3" s="2" t="s">
        <v>30</v>
      </c>
      <c r="R3" s="2" t="s">
        <v>30</v>
      </c>
      <c r="S3" s="2" t="s">
        <v>31</v>
      </c>
      <c r="T3" s="2" t="s">
        <v>31</v>
      </c>
      <c r="U3" s="2" t="s">
        <v>32</v>
      </c>
      <c r="V3" s="2" t="s">
        <v>32</v>
      </c>
      <c r="W3" s="2"/>
      <c r="X3" s="2"/>
      <c r="Y3" s="2"/>
      <c r="Z3" s="2"/>
      <c r="AA3" s="2"/>
    </row>
    <row r="4" spans="1:2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1" t="s">
        <v>25</v>
      </c>
      <c r="H4" s="2"/>
      <c r="I4" s="2"/>
      <c r="J4" s="2" t="s">
        <v>33</v>
      </c>
      <c r="K4" s="2" t="s">
        <v>34</v>
      </c>
      <c r="L4" s="2" t="s">
        <v>35</v>
      </c>
      <c r="M4" s="2" t="s">
        <v>36</v>
      </c>
      <c r="N4" s="2" t="s">
        <v>33</v>
      </c>
      <c r="O4" s="2" t="s">
        <v>34</v>
      </c>
      <c r="P4" s="2" t="s">
        <v>35</v>
      </c>
      <c r="Q4" s="2" t="s">
        <v>33</v>
      </c>
      <c r="R4" s="2" t="s">
        <v>37</v>
      </c>
      <c r="S4" s="2" t="s">
        <v>38</v>
      </c>
      <c r="T4" s="2" t="s">
        <v>39</v>
      </c>
      <c r="U4" s="2" t="s">
        <v>38</v>
      </c>
      <c r="V4" s="2" t="s">
        <v>96</v>
      </c>
      <c r="W4" s="2" t="s">
        <v>38</v>
      </c>
      <c r="X4" s="2" t="s">
        <v>40</v>
      </c>
      <c r="Y4" s="2" t="s">
        <v>41</v>
      </c>
      <c r="Z4" s="2" t="s">
        <v>42</v>
      </c>
      <c r="AA4" s="2" t="s">
        <v>43</v>
      </c>
    </row>
    <row r="5" spans="1:27" ht="15">
      <c r="A5" s="2" t="s">
        <v>1</v>
      </c>
      <c r="B5" s="2" t="s">
        <v>8</v>
      </c>
      <c r="C5" s="2">
        <v>1</v>
      </c>
      <c r="D5" s="2">
        <v>41.14</v>
      </c>
      <c r="E5" s="2">
        <v>2004</v>
      </c>
      <c r="F5" s="2" t="s">
        <v>9</v>
      </c>
      <c r="G5" s="2">
        <v>12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/>
      <c r="U5" s="2">
        <v>0</v>
      </c>
      <c r="V5" s="2">
        <v>0</v>
      </c>
      <c r="W5" s="2">
        <v>41.14</v>
      </c>
      <c r="X5" s="2">
        <v>41.14</v>
      </c>
      <c r="Y5" s="2">
        <v>41.14</v>
      </c>
      <c r="Z5" s="2">
        <v>41.14</v>
      </c>
      <c r="AA5" s="2">
        <v>41.14</v>
      </c>
    </row>
    <row r="6" spans="1:27" ht="15">
      <c r="A6" s="2" t="s">
        <v>1</v>
      </c>
      <c r="B6" s="2" t="s">
        <v>8</v>
      </c>
      <c r="C6" s="2">
        <v>2</v>
      </c>
      <c r="D6" s="2">
        <v>33.92</v>
      </c>
      <c r="E6" s="2">
        <v>2004</v>
      </c>
      <c r="F6" s="2" t="s">
        <v>9</v>
      </c>
      <c r="G6" s="2">
        <v>12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/>
      <c r="U6" s="2">
        <v>0</v>
      </c>
      <c r="V6" s="2">
        <v>0</v>
      </c>
      <c r="W6" s="2">
        <v>33.92</v>
      </c>
      <c r="X6" s="2">
        <v>33.92</v>
      </c>
      <c r="Y6" s="2">
        <v>33.92</v>
      </c>
      <c r="Z6" s="2">
        <v>33.92</v>
      </c>
      <c r="AA6" s="2">
        <v>33.92</v>
      </c>
    </row>
    <row r="7" spans="1:27" ht="15">
      <c r="A7" s="2" t="s">
        <v>1</v>
      </c>
      <c r="B7" s="2" t="s">
        <v>8</v>
      </c>
      <c r="C7" s="2">
        <v>3</v>
      </c>
      <c r="D7" s="2">
        <v>23.82</v>
      </c>
      <c r="E7" s="2">
        <v>2004</v>
      </c>
      <c r="F7" s="2" t="s">
        <v>9</v>
      </c>
      <c r="G7" s="2">
        <v>12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/>
      <c r="U7" s="2">
        <v>0</v>
      </c>
      <c r="V7" s="2">
        <v>0</v>
      </c>
      <c r="W7" s="2">
        <v>23.82</v>
      </c>
      <c r="X7" s="2">
        <v>23.82</v>
      </c>
      <c r="Y7" s="2">
        <v>23.82</v>
      </c>
      <c r="Z7" s="2">
        <v>23.82</v>
      </c>
      <c r="AA7" s="2">
        <v>23.82</v>
      </c>
    </row>
    <row r="8" spans="1:27" ht="15">
      <c r="A8" s="2" t="s">
        <v>1</v>
      </c>
      <c r="B8" s="2" t="s">
        <v>8</v>
      </c>
      <c r="C8" s="2">
        <v>4</v>
      </c>
      <c r="D8" s="2">
        <v>19.74</v>
      </c>
      <c r="E8" s="2">
        <v>2004</v>
      </c>
      <c r="F8" s="2" t="s">
        <v>9</v>
      </c>
      <c r="G8" s="2">
        <v>12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/>
      <c r="U8" s="2">
        <v>0</v>
      </c>
      <c r="V8" s="2">
        <v>0</v>
      </c>
      <c r="W8" s="2">
        <v>19.74</v>
      </c>
      <c r="X8" s="2">
        <v>19.74</v>
      </c>
      <c r="Y8" s="2">
        <v>19.74</v>
      </c>
      <c r="Z8" s="2">
        <v>19.74</v>
      </c>
      <c r="AA8" s="2">
        <v>19.74</v>
      </c>
    </row>
    <row r="9" spans="1:27" ht="15">
      <c r="A9" s="2" t="s">
        <v>1</v>
      </c>
      <c r="B9" s="2" t="s">
        <v>8</v>
      </c>
      <c r="C9" s="2">
        <v>5</v>
      </c>
      <c r="D9" s="2">
        <v>12.14</v>
      </c>
      <c r="E9" s="2">
        <v>2008</v>
      </c>
      <c r="F9" s="2" t="s">
        <v>9</v>
      </c>
      <c r="G9" s="2">
        <v>8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/>
      <c r="U9" s="2">
        <v>0</v>
      </c>
      <c r="V9" s="2">
        <v>0</v>
      </c>
      <c r="W9" s="2">
        <v>12.14</v>
      </c>
      <c r="X9" s="2">
        <v>12.14</v>
      </c>
      <c r="Y9" s="2">
        <v>12.14</v>
      </c>
      <c r="Z9" s="2">
        <v>12.14</v>
      </c>
      <c r="AA9" s="2">
        <v>12.14</v>
      </c>
    </row>
    <row r="10" spans="1:27" ht="15">
      <c r="A10" s="2" t="s">
        <v>1</v>
      </c>
      <c r="B10" s="2" t="s">
        <v>8</v>
      </c>
      <c r="C10" s="2">
        <v>6</v>
      </c>
      <c r="D10" s="2">
        <v>7.49</v>
      </c>
      <c r="E10" s="2">
        <v>2008</v>
      </c>
      <c r="F10" s="2" t="s">
        <v>9</v>
      </c>
      <c r="G10" s="2">
        <v>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/>
      <c r="U10" s="2">
        <v>0</v>
      </c>
      <c r="V10" s="2">
        <v>0</v>
      </c>
      <c r="W10" s="2">
        <v>7.49</v>
      </c>
      <c r="X10" s="2">
        <v>7.49</v>
      </c>
      <c r="Y10" s="2">
        <v>7.49</v>
      </c>
      <c r="Z10" s="2">
        <v>7.49</v>
      </c>
      <c r="AA10" s="2">
        <v>7.49</v>
      </c>
    </row>
    <row r="11" spans="1:27" ht="15">
      <c r="A11" s="2"/>
      <c r="B11" s="2"/>
      <c r="C11" s="2"/>
      <c r="D11" s="2">
        <f>SUM(D5:D10)</f>
        <v>138.25</v>
      </c>
      <c r="E11" s="2"/>
      <c r="F11" s="2"/>
      <c r="G11" s="2"/>
      <c r="H11" s="2">
        <f aca="true" t="shared" si="0" ref="H11:AA11">SUM(H5:H10)</f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/>
      <c r="U11" s="2">
        <f t="shared" si="0"/>
        <v>0</v>
      </c>
      <c r="V11" s="2">
        <f t="shared" si="0"/>
        <v>0</v>
      </c>
      <c r="W11" s="2">
        <f t="shared" si="0"/>
        <v>138.25</v>
      </c>
      <c r="X11" s="2">
        <f t="shared" si="0"/>
        <v>138.25</v>
      </c>
      <c r="Y11" s="2">
        <f t="shared" si="0"/>
        <v>138.25</v>
      </c>
      <c r="Z11" s="2">
        <f t="shared" si="0"/>
        <v>138.25</v>
      </c>
      <c r="AA11" s="2">
        <f t="shared" si="0"/>
        <v>138.25</v>
      </c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3" ht="15">
      <c r="A13" t="s">
        <v>0</v>
      </c>
      <c r="C13" t="s">
        <v>10</v>
      </c>
    </row>
    <row r="14" spans="8:27" ht="15">
      <c r="H14" s="2" t="s">
        <v>26</v>
      </c>
      <c r="I14" s="2" t="s">
        <v>27</v>
      </c>
      <c r="J14" s="2" t="s">
        <v>28</v>
      </c>
      <c r="K14" s="2"/>
      <c r="L14" s="2"/>
      <c r="M14" s="2"/>
      <c r="N14" s="2" t="s">
        <v>29</v>
      </c>
      <c r="O14" s="2"/>
      <c r="P14" s="2"/>
      <c r="Q14" s="2" t="s">
        <v>30</v>
      </c>
      <c r="R14" s="2" t="s">
        <v>30</v>
      </c>
      <c r="S14" s="2" t="s">
        <v>31</v>
      </c>
      <c r="T14" s="2"/>
      <c r="U14" s="2" t="s">
        <v>32</v>
      </c>
      <c r="V14" s="2" t="s">
        <v>32</v>
      </c>
      <c r="W14" s="2"/>
      <c r="X14" s="2"/>
      <c r="Y14" s="2"/>
      <c r="Z14" s="2"/>
      <c r="AA14" s="2"/>
    </row>
    <row r="15" spans="1:27" ht="15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1" t="s">
        <v>25</v>
      </c>
      <c r="H15" s="2"/>
      <c r="I15" s="2"/>
      <c r="J15" s="2" t="s">
        <v>33</v>
      </c>
      <c r="K15" s="2" t="s">
        <v>34</v>
      </c>
      <c r="L15" s="2" t="s">
        <v>35</v>
      </c>
      <c r="M15" s="2" t="s">
        <v>36</v>
      </c>
      <c r="N15" s="2" t="s">
        <v>33</v>
      </c>
      <c r="O15" s="2" t="s">
        <v>34</v>
      </c>
      <c r="P15" s="2" t="s">
        <v>35</v>
      </c>
      <c r="Q15" s="2" t="s">
        <v>33</v>
      </c>
      <c r="R15" s="2" t="s">
        <v>37</v>
      </c>
      <c r="S15" s="2" t="s">
        <v>38</v>
      </c>
      <c r="T15" s="2"/>
      <c r="U15" s="2" t="s">
        <v>38</v>
      </c>
      <c r="V15" s="2" t="s">
        <v>39</v>
      </c>
      <c r="W15" s="2" t="s">
        <v>38</v>
      </c>
      <c r="X15" s="2" t="s">
        <v>40</v>
      </c>
      <c r="Y15" s="2" t="s">
        <v>41</v>
      </c>
      <c r="Z15" s="2" t="s">
        <v>42</v>
      </c>
      <c r="AA15" s="2" t="s">
        <v>43</v>
      </c>
    </row>
    <row r="16" spans="1:27" ht="15">
      <c r="A16" s="2" t="s">
        <v>10</v>
      </c>
      <c r="B16" s="2" t="s">
        <v>8</v>
      </c>
      <c r="C16" s="2">
        <v>1</v>
      </c>
      <c r="D16" s="2">
        <v>21.59</v>
      </c>
      <c r="E16" s="2">
        <v>2006</v>
      </c>
      <c r="F16" s="2" t="s">
        <v>9</v>
      </c>
      <c r="G16" s="2">
        <v>10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/>
      <c r="U16" s="2">
        <v>0</v>
      </c>
      <c r="V16" s="2">
        <v>0</v>
      </c>
      <c r="W16" s="2">
        <v>21.59</v>
      </c>
      <c r="X16" s="2">
        <v>21.59</v>
      </c>
      <c r="Y16" s="2">
        <v>21.59</v>
      </c>
      <c r="Z16" s="2">
        <v>21.59</v>
      </c>
      <c r="AA16" s="2">
        <v>21.59</v>
      </c>
    </row>
    <row r="17" spans="1:27" ht="15">
      <c r="A17" s="2" t="s">
        <v>10</v>
      </c>
      <c r="B17" s="2" t="s">
        <v>8</v>
      </c>
      <c r="C17" s="2">
        <v>2</v>
      </c>
      <c r="D17" s="2">
        <v>22.59</v>
      </c>
      <c r="E17" s="2">
        <v>2005</v>
      </c>
      <c r="F17" s="2" t="s">
        <v>9</v>
      </c>
      <c r="G17" s="2">
        <v>11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/>
      <c r="U17" s="2">
        <v>0</v>
      </c>
      <c r="V17" s="2">
        <v>0</v>
      </c>
      <c r="W17" s="2">
        <v>22.59</v>
      </c>
      <c r="X17" s="2">
        <v>22.59</v>
      </c>
      <c r="Y17" s="2">
        <v>22.59</v>
      </c>
      <c r="Z17" s="2">
        <v>22.59</v>
      </c>
      <c r="AA17" s="2">
        <v>22.59</v>
      </c>
    </row>
    <row r="18" spans="1:27" ht="15">
      <c r="A18" s="2" t="s">
        <v>10</v>
      </c>
      <c r="B18" s="2" t="s">
        <v>8</v>
      </c>
      <c r="C18" s="2">
        <v>3</v>
      </c>
      <c r="D18" s="2">
        <v>10.82</v>
      </c>
      <c r="E18" s="2">
        <v>2006</v>
      </c>
      <c r="F18" s="2" t="s">
        <v>9</v>
      </c>
      <c r="G18" s="2">
        <v>10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/>
      <c r="U18" s="2">
        <v>0</v>
      </c>
      <c r="V18" s="2">
        <v>0</v>
      </c>
      <c r="W18" s="2">
        <v>10.82</v>
      </c>
      <c r="X18" s="2">
        <v>10.82</v>
      </c>
      <c r="Y18" s="2">
        <v>10.82</v>
      </c>
      <c r="Z18" s="2">
        <v>10.82</v>
      </c>
      <c r="AA18" s="2">
        <v>10.82</v>
      </c>
    </row>
    <row r="19" spans="1:27" ht="15">
      <c r="A19" s="2" t="s">
        <v>10</v>
      </c>
      <c r="B19" s="2" t="s">
        <v>8</v>
      </c>
      <c r="C19" s="2">
        <v>4</v>
      </c>
      <c r="D19" s="2">
        <v>18.3</v>
      </c>
      <c r="E19" s="2">
        <v>2006</v>
      </c>
      <c r="F19" s="2" t="s">
        <v>11</v>
      </c>
      <c r="G19" s="2">
        <v>10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/>
      <c r="U19" s="2">
        <v>0</v>
      </c>
      <c r="V19" s="2">
        <v>0</v>
      </c>
      <c r="W19" s="2">
        <v>18.3</v>
      </c>
      <c r="X19" s="2">
        <v>18.3</v>
      </c>
      <c r="Y19" s="2">
        <v>18.3</v>
      </c>
      <c r="Z19" s="2">
        <v>18.3</v>
      </c>
      <c r="AA19" s="2">
        <v>18.3</v>
      </c>
    </row>
    <row r="20" spans="1:27" ht="15">
      <c r="A20" s="2"/>
      <c r="B20" s="2"/>
      <c r="C20" s="2"/>
      <c r="D20" s="2">
        <f>SUM(D16:D19)</f>
        <v>73.3</v>
      </c>
      <c r="E20" s="2"/>
      <c r="F20" s="2"/>
      <c r="G20" s="2"/>
      <c r="H20" s="2">
        <f aca="true" t="shared" si="1" ref="H20:S20">SUM(H16:H19)</f>
        <v>0</v>
      </c>
      <c r="I20" s="2">
        <f t="shared" si="1"/>
        <v>0</v>
      </c>
      <c r="J20" s="2">
        <f t="shared" si="1"/>
        <v>0</v>
      </c>
      <c r="K20" s="2">
        <f t="shared" si="1"/>
        <v>0</v>
      </c>
      <c r="L20" s="2">
        <f t="shared" si="1"/>
        <v>0</v>
      </c>
      <c r="M20" s="2">
        <f t="shared" si="1"/>
        <v>0</v>
      </c>
      <c r="N20" s="2">
        <f t="shared" si="1"/>
        <v>0</v>
      </c>
      <c r="O20" s="2">
        <f t="shared" si="1"/>
        <v>0</v>
      </c>
      <c r="P20" s="2">
        <f t="shared" si="1"/>
        <v>0</v>
      </c>
      <c r="Q20" s="2">
        <f t="shared" si="1"/>
        <v>0</v>
      </c>
      <c r="R20" s="2">
        <f t="shared" si="1"/>
        <v>0</v>
      </c>
      <c r="S20" s="2">
        <f t="shared" si="1"/>
        <v>0</v>
      </c>
      <c r="T20" s="2"/>
      <c r="U20" s="2">
        <f aca="true" t="shared" si="2" ref="U20:AA20">SUM(U16:U19)</f>
        <v>0</v>
      </c>
      <c r="V20" s="2">
        <f t="shared" si="2"/>
        <v>0</v>
      </c>
      <c r="W20" s="2">
        <f t="shared" si="2"/>
        <v>73.3</v>
      </c>
      <c r="X20" s="2">
        <f t="shared" si="2"/>
        <v>73.3</v>
      </c>
      <c r="Y20" s="2">
        <f t="shared" si="2"/>
        <v>73.3</v>
      </c>
      <c r="Z20" s="2">
        <f t="shared" si="2"/>
        <v>73.3</v>
      </c>
      <c r="AA20" s="2">
        <f t="shared" si="2"/>
        <v>73.3</v>
      </c>
    </row>
    <row r="22" spans="1:3" ht="15">
      <c r="A22" t="s">
        <v>0</v>
      </c>
      <c r="C22" t="s">
        <v>12</v>
      </c>
    </row>
    <row r="23" spans="8:27" ht="15">
      <c r="H23" s="2" t="s">
        <v>26</v>
      </c>
      <c r="I23" s="2" t="s">
        <v>27</v>
      </c>
      <c r="J23" s="2" t="s">
        <v>28</v>
      </c>
      <c r="K23" s="2"/>
      <c r="L23" s="2"/>
      <c r="M23" s="2"/>
      <c r="N23" s="2" t="s">
        <v>29</v>
      </c>
      <c r="O23" s="2"/>
      <c r="P23" s="2"/>
      <c r="Q23" s="2" t="s">
        <v>30</v>
      </c>
      <c r="R23" s="2" t="s">
        <v>30</v>
      </c>
      <c r="S23" s="2" t="s">
        <v>31</v>
      </c>
      <c r="T23" s="2"/>
      <c r="U23" s="2" t="s">
        <v>32</v>
      </c>
      <c r="V23" s="2" t="s">
        <v>32</v>
      </c>
      <c r="W23" s="2"/>
      <c r="X23" s="2"/>
      <c r="Y23" s="2"/>
      <c r="Z23" s="2"/>
      <c r="AA23" s="2"/>
    </row>
    <row r="24" spans="1:27" ht="15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2" t="s">
        <v>7</v>
      </c>
      <c r="G24" s="1" t="s">
        <v>25</v>
      </c>
      <c r="H24" s="2"/>
      <c r="I24" s="2"/>
      <c r="J24" s="2" t="s">
        <v>33</v>
      </c>
      <c r="K24" s="2" t="s">
        <v>34</v>
      </c>
      <c r="L24" s="2" t="s">
        <v>35</v>
      </c>
      <c r="M24" s="2" t="s">
        <v>36</v>
      </c>
      <c r="N24" s="2" t="s">
        <v>33</v>
      </c>
      <c r="O24" s="2" t="s">
        <v>34</v>
      </c>
      <c r="P24" s="2" t="s">
        <v>35</v>
      </c>
      <c r="Q24" s="2" t="s">
        <v>33</v>
      </c>
      <c r="R24" s="2" t="s">
        <v>37</v>
      </c>
      <c r="S24" s="2" t="s">
        <v>38</v>
      </c>
      <c r="T24" s="2"/>
      <c r="U24" s="2" t="s">
        <v>38</v>
      </c>
      <c r="V24" s="2" t="s">
        <v>39</v>
      </c>
      <c r="W24" s="2" t="s">
        <v>38</v>
      </c>
      <c r="X24" s="2" t="s">
        <v>40</v>
      </c>
      <c r="Y24" s="2" t="s">
        <v>41</v>
      </c>
      <c r="Z24" s="2" t="s">
        <v>42</v>
      </c>
      <c r="AA24" s="2" t="s">
        <v>43</v>
      </c>
    </row>
    <row r="25" spans="1:27" ht="15">
      <c r="A25" s="2" t="s">
        <v>12</v>
      </c>
      <c r="B25" s="2" t="s">
        <v>8</v>
      </c>
      <c r="C25" s="2">
        <v>1</v>
      </c>
      <c r="D25" s="2">
        <v>41.29</v>
      </c>
      <c r="E25" s="2">
        <v>2005</v>
      </c>
      <c r="F25" s="2" t="s">
        <v>9</v>
      </c>
      <c r="G25" s="2">
        <v>11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/>
      <c r="U25" s="2">
        <v>0</v>
      </c>
      <c r="V25" s="2">
        <v>0</v>
      </c>
      <c r="W25" s="2">
        <v>41.29</v>
      </c>
      <c r="X25" s="2">
        <v>41.29</v>
      </c>
      <c r="Y25" s="2">
        <v>41.29</v>
      </c>
      <c r="Z25" s="2">
        <v>41.29</v>
      </c>
      <c r="AA25" s="2">
        <v>41.29</v>
      </c>
    </row>
    <row r="26" spans="1:27" ht="15">
      <c r="A26" s="2" t="s">
        <v>12</v>
      </c>
      <c r="B26" s="2" t="s">
        <v>8</v>
      </c>
      <c r="C26" s="2">
        <v>2</v>
      </c>
      <c r="D26" s="2">
        <v>17.26</v>
      </c>
      <c r="E26" s="2">
        <v>2005</v>
      </c>
      <c r="F26" s="2" t="s">
        <v>9</v>
      </c>
      <c r="G26" s="2">
        <v>11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/>
      <c r="U26" s="2">
        <v>0</v>
      </c>
      <c r="V26" s="2">
        <v>0</v>
      </c>
      <c r="W26" s="2">
        <v>17.26</v>
      </c>
      <c r="X26" s="2">
        <v>17.26</v>
      </c>
      <c r="Y26" s="2">
        <v>17.26</v>
      </c>
      <c r="Z26" s="2">
        <v>17.26</v>
      </c>
      <c r="AA26" s="2">
        <v>17.26</v>
      </c>
    </row>
    <row r="27" spans="1:27" ht="15">
      <c r="A27" s="2" t="s">
        <v>12</v>
      </c>
      <c r="B27" s="2" t="s">
        <v>8</v>
      </c>
      <c r="C27" s="2">
        <v>3</v>
      </c>
      <c r="D27" s="2">
        <v>28.89</v>
      </c>
      <c r="E27" s="2">
        <v>2005</v>
      </c>
      <c r="F27" s="2" t="s">
        <v>9</v>
      </c>
      <c r="G27" s="2">
        <v>11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/>
      <c r="U27" s="2">
        <v>0</v>
      </c>
      <c r="V27" s="2">
        <v>0</v>
      </c>
      <c r="W27" s="2">
        <v>28.89</v>
      </c>
      <c r="X27" s="2">
        <v>28.89</v>
      </c>
      <c r="Y27" s="2">
        <v>28.89</v>
      </c>
      <c r="Z27" s="2">
        <v>28.89</v>
      </c>
      <c r="AA27" s="2">
        <v>28.89</v>
      </c>
    </row>
    <row r="28" spans="1:27" ht="15">
      <c r="A28" s="2" t="s">
        <v>12</v>
      </c>
      <c r="B28" s="2" t="s">
        <v>8</v>
      </c>
      <c r="C28" s="2">
        <v>4</v>
      </c>
      <c r="D28" s="2">
        <v>27.81</v>
      </c>
      <c r="E28" s="2">
        <v>2005</v>
      </c>
      <c r="F28" s="2" t="s">
        <v>9</v>
      </c>
      <c r="G28" s="2">
        <v>11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/>
      <c r="U28" s="2">
        <v>0</v>
      </c>
      <c r="V28" s="2">
        <v>0</v>
      </c>
      <c r="W28" s="2">
        <v>27.81</v>
      </c>
      <c r="X28" s="2">
        <v>27.81</v>
      </c>
      <c r="Y28" s="2">
        <v>27.81</v>
      </c>
      <c r="Z28" s="2">
        <v>27.81</v>
      </c>
      <c r="AA28" s="2">
        <v>27.81</v>
      </c>
    </row>
    <row r="29" spans="1:27" ht="15">
      <c r="A29" s="2"/>
      <c r="B29" s="2"/>
      <c r="C29" s="2"/>
      <c r="D29" s="2">
        <f>SUM(D25:D28)</f>
        <v>115.25</v>
      </c>
      <c r="E29" s="2"/>
      <c r="F29" s="2"/>
      <c r="G29" s="2"/>
      <c r="H29" s="2">
        <f aca="true" t="shared" si="3" ref="H29:S29">SUM(H25:H28)</f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</v>
      </c>
      <c r="P29" s="2">
        <f t="shared" si="3"/>
        <v>0</v>
      </c>
      <c r="Q29" s="2">
        <f t="shared" si="3"/>
        <v>0</v>
      </c>
      <c r="R29" s="2">
        <f t="shared" si="3"/>
        <v>0</v>
      </c>
      <c r="S29" s="2">
        <f t="shared" si="3"/>
        <v>0</v>
      </c>
      <c r="T29" s="2"/>
      <c r="U29" s="2">
        <f aca="true" t="shared" si="4" ref="U29:AA29">SUM(U25:U28)</f>
        <v>0</v>
      </c>
      <c r="V29" s="2">
        <f t="shared" si="4"/>
        <v>0</v>
      </c>
      <c r="W29" s="2">
        <f t="shared" si="4"/>
        <v>115.25</v>
      </c>
      <c r="X29" s="2">
        <f t="shared" si="4"/>
        <v>115.25</v>
      </c>
      <c r="Y29" s="2">
        <f t="shared" si="4"/>
        <v>115.25</v>
      </c>
      <c r="Z29" s="2">
        <f t="shared" si="4"/>
        <v>115.25</v>
      </c>
      <c r="AA29" s="2">
        <f t="shared" si="4"/>
        <v>115.25</v>
      </c>
    </row>
    <row r="30" spans="12:16" ht="15">
      <c r="L30" s="5"/>
      <c r="M30" s="6"/>
      <c r="N30" s="6"/>
      <c r="O30" s="6"/>
      <c r="P30" s="6"/>
    </row>
    <row r="31" spans="1:3" ht="15">
      <c r="A31" t="s">
        <v>0</v>
      </c>
      <c r="C31" t="s">
        <v>13</v>
      </c>
    </row>
    <row r="32" spans="8:27" ht="15">
      <c r="H32" s="2" t="s">
        <v>26</v>
      </c>
      <c r="I32" s="2" t="s">
        <v>27</v>
      </c>
      <c r="J32" s="2" t="s">
        <v>28</v>
      </c>
      <c r="K32" s="2"/>
      <c r="L32" s="2"/>
      <c r="M32" s="2"/>
      <c r="N32" s="2" t="s">
        <v>29</v>
      </c>
      <c r="O32" s="2"/>
      <c r="P32" s="2"/>
      <c r="Q32" s="2" t="s">
        <v>30</v>
      </c>
      <c r="R32" s="2" t="s">
        <v>30</v>
      </c>
      <c r="S32" s="2" t="s">
        <v>31</v>
      </c>
      <c r="T32" s="2"/>
      <c r="U32" s="2" t="s">
        <v>32</v>
      </c>
      <c r="V32" s="2" t="s">
        <v>32</v>
      </c>
      <c r="W32" s="2"/>
      <c r="X32" s="2"/>
      <c r="Y32" s="2"/>
      <c r="Z32" s="2"/>
      <c r="AA32" s="2"/>
    </row>
    <row r="33" spans="1:27" ht="15">
      <c r="A33" s="2" t="s">
        <v>2</v>
      </c>
      <c r="B33" s="2" t="s">
        <v>3</v>
      </c>
      <c r="C33" s="2" t="s">
        <v>4</v>
      </c>
      <c r="D33" s="2" t="s">
        <v>5</v>
      </c>
      <c r="E33" s="2" t="s">
        <v>6</v>
      </c>
      <c r="F33" s="2" t="s">
        <v>7</v>
      </c>
      <c r="G33" s="1" t="s">
        <v>25</v>
      </c>
      <c r="H33" s="2"/>
      <c r="I33" s="2"/>
      <c r="J33" s="2" t="s">
        <v>33</v>
      </c>
      <c r="K33" s="2" t="s">
        <v>34</v>
      </c>
      <c r="L33" s="2" t="s">
        <v>35</v>
      </c>
      <c r="M33" s="2" t="s">
        <v>36</v>
      </c>
      <c r="N33" s="2" t="s">
        <v>33</v>
      </c>
      <c r="O33" s="2" t="s">
        <v>34</v>
      </c>
      <c r="P33" s="2" t="s">
        <v>35</v>
      </c>
      <c r="Q33" s="2" t="s">
        <v>33</v>
      </c>
      <c r="R33" s="2" t="s">
        <v>37</v>
      </c>
      <c r="S33" s="2" t="s">
        <v>38</v>
      </c>
      <c r="T33" s="2"/>
      <c r="U33" s="2" t="s">
        <v>38</v>
      </c>
      <c r="V33" s="2" t="s">
        <v>39</v>
      </c>
      <c r="W33" s="2" t="s">
        <v>38</v>
      </c>
      <c r="X33" s="2" t="s">
        <v>40</v>
      </c>
      <c r="Y33" s="2" t="s">
        <v>41</v>
      </c>
      <c r="Z33" s="2" t="s">
        <v>42</v>
      </c>
      <c r="AA33" s="2" t="s">
        <v>43</v>
      </c>
    </row>
    <row r="34" spans="1:27" ht="15">
      <c r="A34" s="2" t="s">
        <v>13</v>
      </c>
      <c r="B34" s="2" t="s">
        <v>8</v>
      </c>
      <c r="C34" s="2">
        <v>1</v>
      </c>
      <c r="D34" s="2">
        <v>32.72</v>
      </c>
      <c r="E34" s="2">
        <v>2006</v>
      </c>
      <c r="F34" s="2" t="s">
        <v>9</v>
      </c>
      <c r="G34" s="2">
        <v>12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/>
      <c r="U34" s="2">
        <v>0</v>
      </c>
      <c r="V34" s="2">
        <v>0</v>
      </c>
      <c r="W34" s="2">
        <v>32.72</v>
      </c>
      <c r="X34" s="2">
        <v>32.72</v>
      </c>
      <c r="Y34" s="2">
        <v>32.72</v>
      </c>
      <c r="Z34" s="2">
        <v>32.72</v>
      </c>
      <c r="AA34" s="2">
        <v>32.72</v>
      </c>
    </row>
    <row r="35" spans="1:27" ht="15">
      <c r="A35" s="2" t="s">
        <v>13</v>
      </c>
      <c r="B35" s="2" t="s">
        <v>8</v>
      </c>
      <c r="C35" s="2">
        <v>2</v>
      </c>
      <c r="D35" s="2">
        <v>24.58</v>
      </c>
      <c r="E35" s="2">
        <v>2006</v>
      </c>
      <c r="F35" s="2" t="s">
        <v>9</v>
      </c>
      <c r="G35" s="2">
        <v>12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/>
      <c r="U35" s="2">
        <v>0</v>
      </c>
      <c r="V35" s="2">
        <v>0</v>
      </c>
      <c r="W35" s="2">
        <v>24.58</v>
      </c>
      <c r="X35" s="2">
        <v>24.58</v>
      </c>
      <c r="Y35" s="2">
        <v>24.58</v>
      </c>
      <c r="Z35" s="2">
        <v>24.58</v>
      </c>
      <c r="AA35" s="2">
        <v>24.58</v>
      </c>
    </row>
    <row r="36" spans="1:27" ht="15">
      <c r="A36" s="2" t="s">
        <v>13</v>
      </c>
      <c r="B36" s="2" t="s">
        <v>8</v>
      </c>
      <c r="C36" s="2">
        <v>3</v>
      </c>
      <c r="D36" s="2">
        <v>20.58</v>
      </c>
      <c r="E36" s="2">
        <v>2006</v>
      </c>
      <c r="F36" s="2" t="s">
        <v>9</v>
      </c>
      <c r="G36" s="2">
        <v>12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/>
      <c r="U36" s="2">
        <v>0</v>
      </c>
      <c r="V36" s="2">
        <v>0</v>
      </c>
      <c r="W36" s="2">
        <v>20.58</v>
      </c>
      <c r="X36" s="2">
        <v>20.58</v>
      </c>
      <c r="Y36" s="2">
        <v>20.58</v>
      </c>
      <c r="Z36" s="2">
        <v>20.58</v>
      </c>
      <c r="AA36" s="2">
        <v>20.58</v>
      </c>
    </row>
    <row r="37" spans="1:27" ht="15">
      <c r="A37" s="2" t="s">
        <v>13</v>
      </c>
      <c r="B37" s="2" t="s">
        <v>8</v>
      </c>
      <c r="C37" s="2">
        <v>4</v>
      </c>
      <c r="D37" s="2">
        <v>22.75</v>
      </c>
      <c r="E37" s="2">
        <v>2006</v>
      </c>
      <c r="F37" s="2" t="s">
        <v>9</v>
      </c>
      <c r="G37" s="2">
        <v>12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/>
      <c r="U37" s="2">
        <v>0</v>
      </c>
      <c r="V37" s="2">
        <v>0</v>
      </c>
      <c r="W37" s="2">
        <v>22.75</v>
      </c>
      <c r="X37" s="2">
        <v>22.75</v>
      </c>
      <c r="Y37" s="2">
        <v>22.75</v>
      </c>
      <c r="Z37" s="2">
        <v>22.75</v>
      </c>
      <c r="AA37" s="2">
        <v>22.75</v>
      </c>
    </row>
    <row r="38" spans="1:27" ht="15">
      <c r="A38" s="2" t="s">
        <v>13</v>
      </c>
      <c r="B38" s="2" t="s">
        <v>8</v>
      </c>
      <c r="C38" s="2">
        <v>5</v>
      </c>
      <c r="D38" s="2">
        <v>13.11</v>
      </c>
      <c r="E38" s="2">
        <v>2006</v>
      </c>
      <c r="F38" s="2" t="s">
        <v>9</v>
      </c>
      <c r="G38" s="2">
        <v>12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/>
      <c r="U38" s="2">
        <v>0</v>
      </c>
      <c r="V38" s="2">
        <v>0</v>
      </c>
      <c r="W38" s="2">
        <v>13.11</v>
      </c>
      <c r="X38" s="2">
        <v>13.11</v>
      </c>
      <c r="Y38" s="2">
        <v>13.11</v>
      </c>
      <c r="Z38" s="2">
        <v>13.11</v>
      </c>
      <c r="AA38" s="2">
        <v>13.11</v>
      </c>
    </row>
    <row r="39" spans="1:27" ht="15">
      <c r="A39" s="2" t="s">
        <v>13</v>
      </c>
      <c r="B39" s="2" t="s">
        <v>8</v>
      </c>
      <c r="C39" s="2">
        <v>6</v>
      </c>
      <c r="D39" s="2">
        <v>33.31</v>
      </c>
      <c r="E39" s="2">
        <v>2006</v>
      </c>
      <c r="F39" s="2" t="s">
        <v>9</v>
      </c>
      <c r="G39" s="2">
        <v>12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/>
      <c r="U39" s="2">
        <v>0</v>
      </c>
      <c r="V39" s="2">
        <v>0</v>
      </c>
      <c r="W39" s="2">
        <v>33.31</v>
      </c>
      <c r="X39" s="2">
        <v>33.31</v>
      </c>
      <c r="Y39" s="2">
        <v>33.31</v>
      </c>
      <c r="Z39" s="2">
        <v>33.31</v>
      </c>
      <c r="AA39" s="2">
        <v>33.31</v>
      </c>
    </row>
    <row r="40" spans="3:27" ht="15">
      <c r="C40" s="2"/>
      <c r="D40" s="2">
        <f>SUM(D34:D39)</f>
        <v>147.05</v>
      </c>
      <c r="E40" s="2"/>
      <c r="F40" s="2"/>
      <c r="G40" s="2"/>
      <c r="H40" s="2">
        <f aca="true" t="shared" si="5" ref="H40:S40">SUM(H34:H39)</f>
        <v>0</v>
      </c>
      <c r="I40" s="2">
        <f t="shared" si="5"/>
        <v>0</v>
      </c>
      <c r="J40" s="2">
        <f t="shared" si="5"/>
        <v>0</v>
      </c>
      <c r="K40" s="2">
        <f t="shared" si="5"/>
        <v>0</v>
      </c>
      <c r="L40" s="2">
        <f t="shared" si="5"/>
        <v>0</v>
      </c>
      <c r="M40" s="2">
        <f t="shared" si="5"/>
        <v>0</v>
      </c>
      <c r="N40" s="2">
        <f t="shared" si="5"/>
        <v>0</v>
      </c>
      <c r="O40" s="2">
        <f t="shared" si="5"/>
        <v>0</v>
      </c>
      <c r="P40" s="2">
        <f t="shared" si="5"/>
        <v>0</v>
      </c>
      <c r="Q40" s="2">
        <f t="shared" si="5"/>
        <v>0</v>
      </c>
      <c r="R40" s="2">
        <f t="shared" si="5"/>
        <v>0</v>
      </c>
      <c r="S40" s="2">
        <f t="shared" si="5"/>
        <v>0</v>
      </c>
      <c r="T40" s="2"/>
      <c r="U40" s="2">
        <f aca="true" t="shared" si="6" ref="U40:AA40">SUM(U34:U39)</f>
        <v>0</v>
      </c>
      <c r="V40" s="2">
        <f t="shared" si="6"/>
        <v>0</v>
      </c>
      <c r="W40" s="2">
        <f t="shared" si="6"/>
        <v>147.05</v>
      </c>
      <c r="X40" s="2">
        <f t="shared" si="6"/>
        <v>147.05</v>
      </c>
      <c r="Y40" s="2">
        <f t="shared" si="6"/>
        <v>147.05</v>
      </c>
      <c r="Z40" s="2">
        <f t="shared" si="6"/>
        <v>147.05</v>
      </c>
      <c r="AA40" s="2">
        <f t="shared" si="6"/>
        <v>147.05</v>
      </c>
    </row>
    <row r="42" spans="1:3" ht="15">
      <c r="A42" t="s">
        <v>0</v>
      </c>
      <c r="C42" t="s">
        <v>14</v>
      </c>
    </row>
    <row r="43" spans="8:27" ht="15">
      <c r="H43" s="2" t="s">
        <v>26</v>
      </c>
      <c r="I43" s="2" t="s">
        <v>27</v>
      </c>
      <c r="J43" s="2" t="s">
        <v>28</v>
      </c>
      <c r="K43" s="2"/>
      <c r="L43" s="2"/>
      <c r="M43" s="2"/>
      <c r="N43" s="2" t="s">
        <v>29</v>
      </c>
      <c r="O43" s="2"/>
      <c r="P43" s="2"/>
      <c r="Q43" s="2" t="s">
        <v>30</v>
      </c>
      <c r="R43" s="2" t="s">
        <v>30</v>
      </c>
      <c r="S43" s="2" t="s">
        <v>31</v>
      </c>
      <c r="T43" s="2"/>
      <c r="U43" s="2" t="s">
        <v>32</v>
      </c>
      <c r="V43" s="2" t="s">
        <v>32</v>
      </c>
      <c r="W43" s="2"/>
      <c r="X43" s="2"/>
      <c r="Y43" s="2"/>
      <c r="Z43" s="2"/>
      <c r="AA43" s="2"/>
    </row>
    <row r="44" spans="1:27" ht="15">
      <c r="A44" s="2" t="s">
        <v>2</v>
      </c>
      <c r="B44" s="2" t="s">
        <v>3</v>
      </c>
      <c r="C44" s="2" t="s">
        <v>4</v>
      </c>
      <c r="D44" s="2" t="s">
        <v>5</v>
      </c>
      <c r="E44" s="2" t="s">
        <v>6</v>
      </c>
      <c r="F44" s="2" t="s">
        <v>7</v>
      </c>
      <c r="G44" s="1" t="s">
        <v>25</v>
      </c>
      <c r="H44" s="2"/>
      <c r="I44" s="2"/>
      <c r="J44" s="2" t="s">
        <v>33</v>
      </c>
      <c r="K44" s="2" t="s">
        <v>34</v>
      </c>
      <c r="L44" s="2" t="s">
        <v>35</v>
      </c>
      <c r="M44" s="2" t="s">
        <v>36</v>
      </c>
      <c r="N44" s="2" t="s">
        <v>33</v>
      </c>
      <c r="O44" s="2" t="s">
        <v>34</v>
      </c>
      <c r="P44" s="2" t="s">
        <v>35</v>
      </c>
      <c r="Q44" s="2" t="s">
        <v>33</v>
      </c>
      <c r="R44" s="2" t="s">
        <v>37</v>
      </c>
      <c r="S44" s="2" t="s">
        <v>38</v>
      </c>
      <c r="T44" s="2"/>
      <c r="U44" s="2" t="s">
        <v>38</v>
      </c>
      <c r="V44" s="2" t="s">
        <v>39</v>
      </c>
      <c r="W44" s="2" t="s">
        <v>38</v>
      </c>
      <c r="X44" s="2" t="s">
        <v>40</v>
      </c>
      <c r="Y44" s="2" t="s">
        <v>41</v>
      </c>
      <c r="Z44" s="2" t="s">
        <v>42</v>
      </c>
      <c r="AA44" s="2" t="s">
        <v>43</v>
      </c>
    </row>
    <row r="45" spans="1:27" ht="15">
      <c r="A45" s="2" t="s">
        <v>14</v>
      </c>
      <c r="B45" s="2" t="s">
        <v>8</v>
      </c>
      <c r="C45" s="2">
        <v>1</v>
      </c>
      <c r="D45" s="2">
        <v>19.06</v>
      </c>
      <c r="E45" s="2">
        <v>2006</v>
      </c>
      <c r="F45" s="2" t="s">
        <v>9</v>
      </c>
      <c r="G45" s="2">
        <v>12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/>
      <c r="U45" s="2">
        <v>0</v>
      </c>
      <c r="V45" s="2">
        <v>0</v>
      </c>
      <c r="W45" s="2">
        <v>19.06</v>
      </c>
      <c r="X45" s="2">
        <v>19.06</v>
      </c>
      <c r="Y45" s="2">
        <v>19.06</v>
      </c>
      <c r="Z45" s="2">
        <v>19.06</v>
      </c>
      <c r="AA45" s="2">
        <v>19.06</v>
      </c>
    </row>
    <row r="46" spans="1:27" ht="15">
      <c r="A46" s="2" t="s">
        <v>14</v>
      </c>
      <c r="B46" s="2" t="s">
        <v>8</v>
      </c>
      <c r="C46" s="2">
        <v>2</v>
      </c>
      <c r="D46" s="2">
        <v>34.77</v>
      </c>
      <c r="E46" s="2">
        <v>2006</v>
      </c>
      <c r="F46" s="2" t="s">
        <v>9</v>
      </c>
      <c r="G46" s="2">
        <v>12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/>
      <c r="U46" s="2">
        <v>0</v>
      </c>
      <c r="V46" s="2">
        <v>0</v>
      </c>
      <c r="W46" s="2">
        <v>34.77</v>
      </c>
      <c r="X46" s="2">
        <v>34.77</v>
      </c>
      <c r="Y46" s="2">
        <v>34.77</v>
      </c>
      <c r="Z46" s="2">
        <v>34.77</v>
      </c>
      <c r="AA46" s="2">
        <v>34.77</v>
      </c>
    </row>
    <row r="47" spans="1:27" ht="15">
      <c r="A47" s="2" t="s">
        <v>14</v>
      </c>
      <c r="B47" s="2" t="s">
        <v>8</v>
      </c>
      <c r="C47" s="2">
        <v>3</v>
      </c>
      <c r="D47" s="2">
        <v>30.64</v>
      </c>
      <c r="E47" s="2">
        <v>2006</v>
      </c>
      <c r="F47" s="2" t="s">
        <v>9</v>
      </c>
      <c r="G47" s="2">
        <v>12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/>
      <c r="U47" s="2">
        <v>0</v>
      </c>
      <c r="V47" s="2">
        <v>0</v>
      </c>
      <c r="W47" s="2">
        <v>30.64</v>
      </c>
      <c r="X47" s="2">
        <v>30.64</v>
      </c>
      <c r="Y47" s="2">
        <v>30.64</v>
      </c>
      <c r="Z47" s="2">
        <v>30.64</v>
      </c>
      <c r="AA47" s="2">
        <v>30.64</v>
      </c>
    </row>
    <row r="48" spans="1:27" ht="15">
      <c r="A48" s="2" t="s">
        <v>14</v>
      </c>
      <c r="B48" s="2" t="s">
        <v>8</v>
      </c>
      <c r="C48" s="2">
        <v>4</v>
      </c>
      <c r="D48" s="2">
        <v>20.52</v>
      </c>
      <c r="E48" s="2">
        <v>2006</v>
      </c>
      <c r="F48" s="2" t="s">
        <v>9</v>
      </c>
      <c r="G48" s="2">
        <v>12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/>
      <c r="U48" s="2">
        <v>0</v>
      </c>
      <c r="V48" s="2">
        <v>0</v>
      </c>
      <c r="W48" s="2">
        <v>20.52</v>
      </c>
      <c r="X48" s="2">
        <v>20.52</v>
      </c>
      <c r="Y48" s="2">
        <v>20.52</v>
      </c>
      <c r="Z48" s="2">
        <v>20.52</v>
      </c>
      <c r="AA48" s="2">
        <v>20.52</v>
      </c>
    </row>
    <row r="49" spans="1:27" ht="15">
      <c r="A49" s="2" t="s">
        <v>14</v>
      </c>
      <c r="B49" s="2" t="s">
        <v>8</v>
      </c>
      <c r="C49" s="2">
        <v>5</v>
      </c>
      <c r="D49" s="2">
        <v>31.9</v>
      </c>
      <c r="E49" s="2">
        <v>2006</v>
      </c>
      <c r="F49" s="2" t="s">
        <v>9</v>
      </c>
      <c r="G49" s="2">
        <v>12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/>
      <c r="U49" s="2">
        <v>0</v>
      </c>
      <c r="V49" s="2">
        <v>0</v>
      </c>
      <c r="W49" s="2">
        <v>31.9</v>
      </c>
      <c r="X49" s="2">
        <v>31.9</v>
      </c>
      <c r="Y49" s="2">
        <v>31.9</v>
      </c>
      <c r="Z49" s="2">
        <v>31.9</v>
      </c>
      <c r="AA49" s="2">
        <v>31.9</v>
      </c>
    </row>
    <row r="50" spans="1:27" ht="15">
      <c r="A50" s="2" t="s">
        <v>14</v>
      </c>
      <c r="B50" s="2" t="s">
        <v>8</v>
      </c>
      <c r="C50" s="2">
        <v>6</v>
      </c>
      <c r="D50" s="2">
        <v>32.44</v>
      </c>
      <c r="E50" s="2">
        <v>2006</v>
      </c>
      <c r="F50" s="2" t="s">
        <v>9</v>
      </c>
      <c r="G50" s="2">
        <v>12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/>
      <c r="U50" s="2">
        <v>0</v>
      </c>
      <c r="V50" s="2">
        <v>0</v>
      </c>
      <c r="W50" s="2">
        <v>32.44</v>
      </c>
      <c r="X50" s="2">
        <v>32.44</v>
      </c>
      <c r="Y50" s="2">
        <v>32.44</v>
      </c>
      <c r="Z50" s="2">
        <v>32.44</v>
      </c>
      <c r="AA50" s="2">
        <v>32.44</v>
      </c>
    </row>
    <row r="51" spans="1:27" ht="15">
      <c r="A51" s="2" t="s">
        <v>14</v>
      </c>
      <c r="B51" s="2" t="s">
        <v>8</v>
      </c>
      <c r="C51" s="2">
        <v>7</v>
      </c>
      <c r="D51" s="2">
        <v>9.51</v>
      </c>
      <c r="E51" s="2">
        <v>2007</v>
      </c>
      <c r="F51" s="2" t="s">
        <v>9</v>
      </c>
      <c r="G51" s="2">
        <v>13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/>
      <c r="U51" s="2">
        <v>0</v>
      </c>
      <c r="V51" s="2">
        <v>0</v>
      </c>
      <c r="W51" s="2">
        <v>9.51</v>
      </c>
      <c r="X51" s="2">
        <v>9.51</v>
      </c>
      <c r="Y51" s="2">
        <v>9.51</v>
      </c>
      <c r="Z51" s="2">
        <v>9.51</v>
      </c>
      <c r="AA51" s="2">
        <v>9.51</v>
      </c>
    </row>
    <row r="52" spans="1:27" ht="15">
      <c r="A52" s="2"/>
      <c r="B52" s="2"/>
      <c r="C52" s="2"/>
      <c r="D52" s="2">
        <f>SUM(D45:D51)</f>
        <v>178.83999999999997</v>
      </c>
      <c r="E52" s="2"/>
      <c r="F52" s="2"/>
      <c r="G52" s="2"/>
      <c r="H52" s="2">
        <f aca="true" t="shared" si="7" ref="H52:S52">SUM(H45:H51)</f>
        <v>0</v>
      </c>
      <c r="I52" s="2">
        <f t="shared" si="7"/>
        <v>0</v>
      </c>
      <c r="J52" s="2">
        <f t="shared" si="7"/>
        <v>0</v>
      </c>
      <c r="K52" s="2">
        <f t="shared" si="7"/>
        <v>0</v>
      </c>
      <c r="L52" s="2">
        <f t="shared" si="7"/>
        <v>0</v>
      </c>
      <c r="M52" s="2">
        <f t="shared" si="7"/>
        <v>0</v>
      </c>
      <c r="N52" s="2">
        <f t="shared" si="7"/>
        <v>0</v>
      </c>
      <c r="O52" s="2">
        <f t="shared" si="7"/>
        <v>0</v>
      </c>
      <c r="P52" s="2">
        <f t="shared" si="7"/>
        <v>0</v>
      </c>
      <c r="Q52" s="2">
        <f t="shared" si="7"/>
        <v>0</v>
      </c>
      <c r="R52" s="2">
        <f t="shared" si="7"/>
        <v>0</v>
      </c>
      <c r="S52" s="2">
        <f t="shared" si="7"/>
        <v>0</v>
      </c>
      <c r="T52" s="2"/>
      <c r="U52" s="2">
        <f aca="true" t="shared" si="8" ref="U52:AA52">SUM(U45:U51)</f>
        <v>0</v>
      </c>
      <c r="V52" s="2">
        <f t="shared" si="8"/>
        <v>0</v>
      </c>
      <c r="W52" s="2">
        <f t="shared" si="8"/>
        <v>178.83999999999997</v>
      </c>
      <c r="X52" s="2">
        <f t="shared" si="8"/>
        <v>178.83999999999997</v>
      </c>
      <c r="Y52" s="2">
        <f t="shared" si="8"/>
        <v>178.83999999999997</v>
      </c>
      <c r="Z52" s="2">
        <f t="shared" si="8"/>
        <v>178.83999999999997</v>
      </c>
      <c r="AA52" s="2">
        <f t="shared" si="8"/>
        <v>178.83999999999997</v>
      </c>
    </row>
    <row r="53" spans="3:7" ht="15">
      <c r="C53" s="3"/>
      <c r="D53" s="3"/>
      <c r="E53" s="3"/>
      <c r="F53" s="3"/>
      <c r="G53" s="3"/>
    </row>
    <row r="54" spans="1:3" ht="15">
      <c r="A54" t="s">
        <v>0</v>
      </c>
      <c r="C54" t="s">
        <v>16</v>
      </c>
    </row>
    <row r="55" spans="8:27" ht="15">
      <c r="H55" s="2" t="s">
        <v>26</v>
      </c>
      <c r="I55" s="2" t="s">
        <v>27</v>
      </c>
      <c r="J55" s="2" t="s">
        <v>28</v>
      </c>
      <c r="K55" s="2"/>
      <c r="L55" s="2"/>
      <c r="M55" s="2"/>
      <c r="N55" s="2" t="s">
        <v>29</v>
      </c>
      <c r="O55" s="2"/>
      <c r="P55" s="2"/>
      <c r="Q55" s="2" t="s">
        <v>30</v>
      </c>
      <c r="R55" s="2" t="s">
        <v>30</v>
      </c>
      <c r="S55" s="2" t="s">
        <v>31</v>
      </c>
      <c r="T55" s="2"/>
      <c r="U55" s="2" t="s">
        <v>32</v>
      </c>
      <c r="V55" s="2" t="s">
        <v>32</v>
      </c>
      <c r="W55" s="2"/>
      <c r="X55" s="2"/>
      <c r="Y55" s="2"/>
      <c r="Z55" s="2"/>
      <c r="AA55" s="2"/>
    </row>
    <row r="56" spans="1:27" ht="15">
      <c r="A56" s="2" t="s">
        <v>2</v>
      </c>
      <c r="B56" s="2" t="s">
        <v>3</v>
      </c>
      <c r="C56" s="2" t="s">
        <v>4</v>
      </c>
      <c r="D56" s="2" t="s">
        <v>5</v>
      </c>
      <c r="E56" s="2" t="s">
        <v>6</v>
      </c>
      <c r="F56" s="2" t="s">
        <v>7</v>
      </c>
      <c r="G56" s="1" t="s">
        <v>25</v>
      </c>
      <c r="H56" s="2"/>
      <c r="I56" s="2"/>
      <c r="J56" s="2" t="s">
        <v>33</v>
      </c>
      <c r="K56" s="2" t="s">
        <v>34</v>
      </c>
      <c r="L56" s="2" t="s">
        <v>35</v>
      </c>
      <c r="M56" s="2" t="s">
        <v>36</v>
      </c>
      <c r="N56" s="2" t="s">
        <v>33</v>
      </c>
      <c r="O56" s="2" t="s">
        <v>34</v>
      </c>
      <c r="P56" s="2" t="s">
        <v>35</v>
      </c>
      <c r="Q56" s="2" t="s">
        <v>33</v>
      </c>
      <c r="R56" s="2" t="s">
        <v>37</v>
      </c>
      <c r="S56" s="2" t="s">
        <v>38</v>
      </c>
      <c r="T56" s="2"/>
      <c r="U56" s="2" t="s">
        <v>38</v>
      </c>
      <c r="V56" s="2" t="s">
        <v>39</v>
      </c>
      <c r="W56" s="2" t="s">
        <v>38</v>
      </c>
      <c r="X56" s="2" t="s">
        <v>40</v>
      </c>
      <c r="Y56" s="2" t="s">
        <v>41</v>
      </c>
      <c r="Z56" s="2" t="s">
        <v>42</v>
      </c>
      <c r="AA56" s="2" t="s">
        <v>43</v>
      </c>
    </row>
    <row r="57" spans="1:27" ht="15">
      <c r="A57" s="2" t="s">
        <v>16</v>
      </c>
      <c r="B57" s="2" t="s">
        <v>8</v>
      </c>
      <c r="C57" s="2">
        <v>1</v>
      </c>
      <c r="D57" s="2">
        <v>25.85</v>
      </c>
      <c r="E57" s="2">
        <v>2005</v>
      </c>
      <c r="F57" s="2" t="s">
        <v>9</v>
      </c>
      <c r="G57" s="2">
        <v>11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/>
      <c r="U57" s="2">
        <v>0</v>
      </c>
      <c r="V57" s="2">
        <v>0</v>
      </c>
      <c r="W57" s="2">
        <v>25.85</v>
      </c>
      <c r="X57" s="2">
        <v>25.85</v>
      </c>
      <c r="Y57" s="2">
        <v>25.85</v>
      </c>
      <c r="Z57" s="2">
        <v>25.85</v>
      </c>
      <c r="AA57" s="2">
        <v>25.85</v>
      </c>
    </row>
    <row r="58" spans="1:27" ht="15">
      <c r="A58" s="2" t="s">
        <v>16</v>
      </c>
      <c r="B58" s="2" t="s">
        <v>8</v>
      </c>
      <c r="C58" s="2">
        <v>2</v>
      </c>
      <c r="D58" s="2">
        <v>32.77</v>
      </c>
      <c r="E58" s="2">
        <v>2005</v>
      </c>
      <c r="F58" s="2" t="s">
        <v>9</v>
      </c>
      <c r="G58" s="2">
        <v>11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/>
      <c r="U58" s="2">
        <v>0</v>
      </c>
      <c r="V58" s="2">
        <v>0</v>
      </c>
      <c r="W58" s="2">
        <v>32.77</v>
      </c>
      <c r="X58" s="2">
        <v>32.77</v>
      </c>
      <c r="Y58" s="2">
        <v>32.77</v>
      </c>
      <c r="Z58" s="2">
        <v>32.77</v>
      </c>
      <c r="AA58" s="2">
        <v>32.77</v>
      </c>
    </row>
    <row r="59" spans="1:27" ht="15">
      <c r="A59" s="2" t="s">
        <v>16</v>
      </c>
      <c r="B59" s="2" t="s">
        <v>8</v>
      </c>
      <c r="C59" s="2">
        <v>3</v>
      </c>
      <c r="D59" s="2">
        <v>36.3</v>
      </c>
      <c r="E59" s="2">
        <v>2005</v>
      </c>
      <c r="F59" s="2" t="s">
        <v>9</v>
      </c>
      <c r="G59" s="2">
        <v>11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/>
      <c r="U59" s="2">
        <v>0</v>
      </c>
      <c r="V59" s="2">
        <v>0</v>
      </c>
      <c r="W59" s="2">
        <v>36.3</v>
      </c>
      <c r="X59" s="2">
        <v>36.3</v>
      </c>
      <c r="Y59" s="2">
        <v>36.3</v>
      </c>
      <c r="Z59" s="2">
        <v>36.3</v>
      </c>
      <c r="AA59" s="2">
        <v>36.3</v>
      </c>
    </row>
    <row r="60" spans="1:27" ht="15">
      <c r="A60" s="2" t="s">
        <v>16</v>
      </c>
      <c r="B60" s="2" t="s">
        <v>8</v>
      </c>
      <c r="C60" s="2">
        <v>4</v>
      </c>
      <c r="D60" s="2">
        <v>13.6</v>
      </c>
      <c r="E60" s="2">
        <v>2005</v>
      </c>
      <c r="F60" s="2" t="s">
        <v>9</v>
      </c>
      <c r="G60" s="2">
        <v>11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/>
      <c r="U60" s="2">
        <v>0</v>
      </c>
      <c r="V60" s="2">
        <v>0</v>
      </c>
      <c r="W60" s="2">
        <v>13.6</v>
      </c>
      <c r="X60" s="2">
        <v>13.6</v>
      </c>
      <c r="Y60" s="2">
        <v>13.6</v>
      </c>
      <c r="Z60" s="2">
        <v>13.6</v>
      </c>
      <c r="AA60" s="2">
        <v>13.6</v>
      </c>
    </row>
    <row r="61" spans="1:27" ht="15">
      <c r="A61" s="2" t="s">
        <v>16</v>
      </c>
      <c r="B61" s="2" t="s">
        <v>8</v>
      </c>
      <c r="C61" s="2" t="s">
        <v>15</v>
      </c>
      <c r="D61" s="2">
        <v>12.42</v>
      </c>
      <c r="E61" s="2">
        <v>2005</v>
      </c>
      <c r="F61" s="2" t="s">
        <v>9</v>
      </c>
      <c r="G61" s="2">
        <v>11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/>
      <c r="U61" s="2">
        <v>0</v>
      </c>
      <c r="V61" s="2">
        <v>0</v>
      </c>
      <c r="W61" s="2">
        <v>12.42</v>
      </c>
      <c r="X61" s="2">
        <v>12.42</v>
      </c>
      <c r="Y61" s="2">
        <v>12.42</v>
      </c>
      <c r="Z61" s="2">
        <v>12.42</v>
      </c>
      <c r="AA61" s="2">
        <v>12.42</v>
      </c>
    </row>
    <row r="62" spans="1:27" ht="15">
      <c r="A62" s="2"/>
      <c r="B62" s="2"/>
      <c r="C62" s="2"/>
      <c r="D62" s="2">
        <f>SUM(D57:D61)</f>
        <v>120.94</v>
      </c>
      <c r="E62" s="2"/>
      <c r="F62" s="2"/>
      <c r="G62" s="2"/>
      <c r="H62" s="2">
        <f aca="true" t="shared" si="9" ref="H62:AA62">SUM(H57:H61)</f>
        <v>0</v>
      </c>
      <c r="I62" s="2">
        <f t="shared" si="9"/>
        <v>0</v>
      </c>
      <c r="J62" s="2">
        <f t="shared" si="9"/>
        <v>0</v>
      </c>
      <c r="K62" s="2">
        <f t="shared" si="9"/>
        <v>0</v>
      </c>
      <c r="L62" s="2">
        <f t="shared" si="9"/>
        <v>0</v>
      </c>
      <c r="M62" s="2">
        <f t="shared" si="9"/>
        <v>0</v>
      </c>
      <c r="N62" s="2">
        <f t="shared" si="9"/>
        <v>0</v>
      </c>
      <c r="O62" s="2">
        <f t="shared" si="9"/>
        <v>0</v>
      </c>
      <c r="P62" s="2">
        <f t="shared" si="9"/>
        <v>0</v>
      </c>
      <c r="Q62" s="2">
        <f t="shared" si="9"/>
        <v>0</v>
      </c>
      <c r="R62" s="2">
        <f t="shared" si="9"/>
        <v>0</v>
      </c>
      <c r="S62" s="2">
        <f t="shared" si="9"/>
        <v>0</v>
      </c>
      <c r="T62" s="2"/>
      <c r="U62" s="2">
        <f t="shared" si="9"/>
        <v>0</v>
      </c>
      <c r="V62" s="2">
        <f t="shared" si="9"/>
        <v>0</v>
      </c>
      <c r="W62" s="2">
        <f t="shared" si="9"/>
        <v>120.94</v>
      </c>
      <c r="X62" s="2">
        <f t="shared" si="9"/>
        <v>120.94</v>
      </c>
      <c r="Y62" s="2">
        <f t="shared" si="9"/>
        <v>120.94</v>
      </c>
      <c r="Z62" s="2">
        <f t="shared" si="9"/>
        <v>120.94</v>
      </c>
      <c r="AA62" s="2">
        <f t="shared" si="9"/>
        <v>120.94</v>
      </c>
    </row>
    <row r="64" spans="1:3" ht="15">
      <c r="A64" t="s">
        <v>0</v>
      </c>
      <c r="C64" t="s">
        <v>17</v>
      </c>
    </row>
    <row r="65" spans="8:27" ht="15">
      <c r="H65" s="2" t="s">
        <v>26</v>
      </c>
      <c r="I65" s="2" t="s">
        <v>27</v>
      </c>
      <c r="J65" s="2" t="s">
        <v>28</v>
      </c>
      <c r="K65" s="2"/>
      <c r="L65" s="2"/>
      <c r="M65" s="2"/>
      <c r="N65" s="2" t="s">
        <v>29</v>
      </c>
      <c r="O65" s="2"/>
      <c r="P65" s="2"/>
      <c r="Q65" s="2" t="s">
        <v>30</v>
      </c>
      <c r="R65" s="2" t="s">
        <v>30</v>
      </c>
      <c r="S65" s="2" t="s">
        <v>31</v>
      </c>
      <c r="T65" s="2"/>
      <c r="U65" s="2" t="s">
        <v>32</v>
      </c>
      <c r="V65" s="2" t="s">
        <v>32</v>
      </c>
      <c r="W65" s="2"/>
      <c r="X65" s="2"/>
      <c r="Y65" s="2"/>
      <c r="Z65" s="2"/>
      <c r="AA65" s="2"/>
    </row>
    <row r="66" spans="1:27" ht="15">
      <c r="A66" s="2" t="s">
        <v>2</v>
      </c>
      <c r="B66" s="2" t="s">
        <v>3</v>
      </c>
      <c r="C66" s="2" t="s">
        <v>4</v>
      </c>
      <c r="D66" s="2" t="s">
        <v>5</v>
      </c>
      <c r="E66" s="2" t="s">
        <v>6</v>
      </c>
      <c r="F66" s="2" t="s">
        <v>7</v>
      </c>
      <c r="G66" s="1" t="s">
        <v>25</v>
      </c>
      <c r="H66" s="2"/>
      <c r="I66" s="2"/>
      <c r="J66" s="2" t="s">
        <v>33</v>
      </c>
      <c r="K66" s="2" t="s">
        <v>34</v>
      </c>
      <c r="L66" s="2" t="s">
        <v>35</v>
      </c>
      <c r="M66" s="2" t="s">
        <v>36</v>
      </c>
      <c r="N66" s="2" t="s">
        <v>33</v>
      </c>
      <c r="O66" s="2" t="s">
        <v>34</v>
      </c>
      <c r="P66" s="2" t="s">
        <v>35</v>
      </c>
      <c r="Q66" s="2" t="s">
        <v>33</v>
      </c>
      <c r="R66" s="2" t="s">
        <v>37</v>
      </c>
      <c r="S66" s="2" t="s">
        <v>38</v>
      </c>
      <c r="T66" s="2"/>
      <c r="U66" s="2" t="s">
        <v>38</v>
      </c>
      <c r="V66" s="2" t="s">
        <v>39</v>
      </c>
      <c r="W66" s="2" t="s">
        <v>38</v>
      </c>
      <c r="X66" s="2" t="s">
        <v>40</v>
      </c>
      <c r="Y66" s="2" t="s">
        <v>41</v>
      </c>
      <c r="Z66" s="2" t="s">
        <v>42</v>
      </c>
      <c r="AA66" s="2" t="s">
        <v>43</v>
      </c>
    </row>
    <row r="67" spans="1:27" ht="15">
      <c r="A67" s="2" t="s">
        <v>17</v>
      </c>
      <c r="B67" s="2" t="s">
        <v>8</v>
      </c>
      <c r="C67" s="2">
        <v>1</v>
      </c>
      <c r="D67" s="2">
        <v>30.68</v>
      </c>
      <c r="E67" s="2">
        <v>2006</v>
      </c>
      <c r="F67" s="2" t="s">
        <v>9</v>
      </c>
      <c r="G67" s="2">
        <v>9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/>
      <c r="U67" s="2">
        <v>0</v>
      </c>
      <c r="V67" s="2">
        <v>0</v>
      </c>
      <c r="W67" s="2">
        <v>30.68</v>
      </c>
      <c r="X67" s="2">
        <v>30.68</v>
      </c>
      <c r="Y67" s="2">
        <v>30.68</v>
      </c>
      <c r="Z67" s="2">
        <v>30.68</v>
      </c>
      <c r="AA67" s="2">
        <v>30.68</v>
      </c>
    </row>
    <row r="68" spans="1:27" ht="15">
      <c r="A68" s="2" t="s">
        <v>17</v>
      </c>
      <c r="B68" s="2" t="s">
        <v>8</v>
      </c>
      <c r="C68" s="2">
        <v>2</v>
      </c>
      <c r="D68" s="4">
        <v>13.39</v>
      </c>
      <c r="E68" s="2">
        <v>2006</v>
      </c>
      <c r="F68" s="2" t="s">
        <v>9</v>
      </c>
      <c r="G68" s="2">
        <v>9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/>
      <c r="U68" s="2">
        <v>0</v>
      </c>
      <c r="V68" s="2">
        <v>0</v>
      </c>
      <c r="W68" s="4">
        <v>13.39</v>
      </c>
      <c r="X68" s="4">
        <v>13.39</v>
      </c>
      <c r="Y68" s="4">
        <v>13.39</v>
      </c>
      <c r="Z68" s="4">
        <v>13.39</v>
      </c>
      <c r="AA68" s="4">
        <v>13.39</v>
      </c>
    </row>
    <row r="69" spans="1:27" ht="15">
      <c r="A69" s="2" t="s">
        <v>17</v>
      </c>
      <c r="B69" s="2" t="s">
        <v>8</v>
      </c>
      <c r="C69" s="2">
        <v>3</v>
      </c>
      <c r="D69" s="2">
        <v>23.41</v>
      </c>
      <c r="E69" s="2">
        <v>2006</v>
      </c>
      <c r="F69" s="2" t="s">
        <v>9</v>
      </c>
      <c r="G69" s="2">
        <v>9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/>
      <c r="U69" s="2">
        <v>0</v>
      </c>
      <c r="V69" s="2">
        <v>0</v>
      </c>
      <c r="W69" s="2">
        <v>23.41</v>
      </c>
      <c r="X69" s="2">
        <v>23.41</v>
      </c>
      <c r="Y69" s="2">
        <v>23.41</v>
      </c>
      <c r="Z69" s="2">
        <v>23.41</v>
      </c>
      <c r="AA69" s="2">
        <v>23.41</v>
      </c>
    </row>
    <row r="70" spans="1:27" ht="15">
      <c r="A70" s="2" t="s">
        <v>17</v>
      </c>
      <c r="B70" s="2" t="s">
        <v>8</v>
      </c>
      <c r="C70" s="2">
        <v>4</v>
      </c>
      <c r="D70" s="2">
        <v>17.1</v>
      </c>
      <c r="E70" s="2">
        <v>2003</v>
      </c>
      <c r="F70" s="2" t="s">
        <v>11</v>
      </c>
      <c r="G70" s="2">
        <v>12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/>
      <c r="U70" s="2">
        <v>0</v>
      </c>
      <c r="V70" s="2">
        <v>0</v>
      </c>
      <c r="W70" s="2">
        <v>17.1</v>
      </c>
      <c r="X70" s="2">
        <v>17.1</v>
      </c>
      <c r="Y70" s="2">
        <v>17.1</v>
      </c>
      <c r="Z70" s="2">
        <v>17.1</v>
      </c>
      <c r="AA70" s="2">
        <v>17.1</v>
      </c>
    </row>
    <row r="71" spans="1:27" ht="15">
      <c r="A71" s="2"/>
      <c r="B71" s="2"/>
      <c r="C71" s="2"/>
      <c r="D71" s="2">
        <f>SUM(D67:D70)</f>
        <v>84.58000000000001</v>
      </c>
      <c r="E71" s="2"/>
      <c r="F71" s="2"/>
      <c r="G71" s="2"/>
      <c r="H71" s="2">
        <f>SUM(H67:H70)</f>
        <v>0</v>
      </c>
      <c r="I71" s="2">
        <f aca="true" t="shared" si="10" ref="I71:V71">SUM(I67:I70)</f>
        <v>0</v>
      </c>
      <c r="J71" s="2">
        <f t="shared" si="10"/>
        <v>0</v>
      </c>
      <c r="K71" s="2">
        <f t="shared" si="10"/>
        <v>0</v>
      </c>
      <c r="L71" s="2">
        <f t="shared" si="10"/>
        <v>0</v>
      </c>
      <c r="M71" s="2">
        <f t="shared" si="10"/>
        <v>0</v>
      </c>
      <c r="N71" s="2">
        <f t="shared" si="10"/>
        <v>0</v>
      </c>
      <c r="O71" s="2">
        <f t="shared" si="10"/>
        <v>0</v>
      </c>
      <c r="P71" s="2">
        <f t="shared" si="10"/>
        <v>0</v>
      </c>
      <c r="Q71" s="2">
        <f t="shared" si="10"/>
        <v>0</v>
      </c>
      <c r="R71" s="2">
        <f t="shared" si="10"/>
        <v>0</v>
      </c>
      <c r="S71" s="2">
        <f t="shared" si="10"/>
        <v>0</v>
      </c>
      <c r="T71" s="2">
        <f t="shared" si="10"/>
        <v>0</v>
      </c>
      <c r="U71" s="2">
        <f t="shared" si="10"/>
        <v>0</v>
      </c>
      <c r="V71" s="2">
        <f t="shared" si="10"/>
        <v>0</v>
      </c>
      <c r="W71" s="2">
        <f>SUM(W67:W70)</f>
        <v>84.58000000000001</v>
      </c>
      <c r="X71" s="2">
        <f>SUM(X67:X70)</f>
        <v>84.58000000000001</v>
      </c>
      <c r="Y71" s="2">
        <f>SUM(Y67:Y70)</f>
        <v>84.58000000000001</v>
      </c>
      <c r="Z71" s="2">
        <f>SUM(Z67:Z70)</f>
        <v>84.58000000000001</v>
      </c>
      <c r="AA71" s="2">
        <f>SUM(AA67:AA70)</f>
        <v>84.58000000000001</v>
      </c>
    </row>
    <row r="72" spans="3:11" ht="15">
      <c r="C72" s="7"/>
      <c r="D72" s="8"/>
      <c r="E72" s="8"/>
      <c r="F72" s="8"/>
      <c r="G72" s="8"/>
      <c r="H72" s="8"/>
      <c r="J72" s="9"/>
      <c r="K72" s="10"/>
    </row>
    <row r="73" spans="1:3" ht="15">
      <c r="A73" t="s">
        <v>0</v>
      </c>
      <c r="C73" t="s">
        <v>19</v>
      </c>
    </row>
    <row r="74" spans="1:27" ht="15">
      <c r="A74" s="3"/>
      <c r="B74" s="3"/>
      <c r="C74" s="3"/>
      <c r="H74" s="2" t="s">
        <v>26</v>
      </c>
      <c r="I74" s="2" t="s">
        <v>27</v>
      </c>
      <c r="J74" s="2" t="s">
        <v>28</v>
      </c>
      <c r="K74" s="2"/>
      <c r="L74" s="2"/>
      <c r="M74" s="2"/>
      <c r="N74" s="2" t="s">
        <v>29</v>
      </c>
      <c r="O74" s="2"/>
      <c r="P74" s="2"/>
      <c r="Q74" s="2" t="s">
        <v>30</v>
      </c>
      <c r="R74" s="2" t="s">
        <v>30</v>
      </c>
      <c r="S74" s="2" t="s">
        <v>31</v>
      </c>
      <c r="T74" s="2"/>
      <c r="U74" s="2" t="s">
        <v>32</v>
      </c>
      <c r="V74" s="2" t="s">
        <v>32</v>
      </c>
      <c r="W74" s="2"/>
      <c r="X74" s="2"/>
      <c r="Y74" s="2"/>
      <c r="Z74" s="2"/>
      <c r="AA74" s="2"/>
    </row>
    <row r="75" spans="1:27" ht="15">
      <c r="A75" s="2" t="s">
        <v>2</v>
      </c>
      <c r="B75" s="2" t="s">
        <v>3</v>
      </c>
      <c r="C75" s="2" t="s">
        <v>4</v>
      </c>
      <c r="D75" s="2" t="s">
        <v>5</v>
      </c>
      <c r="E75" s="2" t="s">
        <v>6</v>
      </c>
      <c r="F75" s="2" t="s">
        <v>7</v>
      </c>
      <c r="G75" s="1" t="s">
        <v>25</v>
      </c>
      <c r="H75" s="2"/>
      <c r="I75" s="2"/>
      <c r="J75" s="2" t="s">
        <v>33</v>
      </c>
      <c r="K75" s="2" t="s">
        <v>34</v>
      </c>
      <c r="L75" s="2" t="s">
        <v>35</v>
      </c>
      <c r="M75" s="2" t="s">
        <v>36</v>
      </c>
      <c r="N75" s="2" t="s">
        <v>33</v>
      </c>
      <c r="O75" s="2" t="s">
        <v>34</v>
      </c>
      <c r="P75" s="2" t="s">
        <v>35</v>
      </c>
      <c r="Q75" s="2" t="s">
        <v>33</v>
      </c>
      <c r="R75" s="2" t="s">
        <v>37</v>
      </c>
      <c r="S75" s="2" t="s">
        <v>38</v>
      </c>
      <c r="T75" s="2"/>
      <c r="U75" s="2" t="s">
        <v>38</v>
      </c>
      <c r="V75" s="2" t="s">
        <v>39</v>
      </c>
      <c r="W75" s="2" t="s">
        <v>38</v>
      </c>
      <c r="X75" s="2" t="s">
        <v>40</v>
      </c>
      <c r="Y75" s="2" t="s">
        <v>41</v>
      </c>
      <c r="Z75" s="2" t="s">
        <v>42</v>
      </c>
      <c r="AA75" s="2" t="s">
        <v>43</v>
      </c>
    </row>
    <row r="76" spans="1:27" ht="15">
      <c r="A76" s="2" t="s">
        <v>19</v>
      </c>
      <c r="B76" s="2" t="s">
        <v>8</v>
      </c>
      <c r="C76" s="2">
        <v>1</v>
      </c>
      <c r="D76" s="2">
        <v>21.4</v>
      </c>
      <c r="E76" s="2">
        <v>2007</v>
      </c>
      <c r="F76" s="2" t="s">
        <v>9</v>
      </c>
      <c r="G76" s="2">
        <v>13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/>
      <c r="U76" s="2">
        <v>0</v>
      </c>
      <c r="V76" s="2">
        <v>0</v>
      </c>
      <c r="W76" s="2">
        <v>21.4</v>
      </c>
      <c r="X76" s="2">
        <v>21.4</v>
      </c>
      <c r="Y76" s="2">
        <v>21.4</v>
      </c>
      <c r="Z76" s="2">
        <v>21.4</v>
      </c>
      <c r="AA76" s="2">
        <v>21.4</v>
      </c>
    </row>
    <row r="77" spans="1:27" ht="15">
      <c r="A77" s="2" t="s">
        <v>19</v>
      </c>
      <c r="B77" s="2" t="s">
        <v>8</v>
      </c>
      <c r="C77" s="2">
        <v>2</v>
      </c>
      <c r="D77" s="2">
        <v>25.5</v>
      </c>
      <c r="E77" s="2">
        <v>2006</v>
      </c>
      <c r="F77" s="2" t="s">
        <v>9</v>
      </c>
      <c r="G77" s="2">
        <v>12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/>
      <c r="U77" s="2">
        <v>0</v>
      </c>
      <c r="V77" s="2">
        <v>0</v>
      </c>
      <c r="W77" s="2">
        <v>25.5</v>
      </c>
      <c r="X77" s="2">
        <v>25.5</v>
      </c>
      <c r="Y77" s="2">
        <v>25.5</v>
      </c>
      <c r="Z77" s="2">
        <v>25.5</v>
      </c>
      <c r="AA77" s="2">
        <v>25.5</v>
      </c>
    </row>
    <row r="78" spans="1:27" ht="15">
      <c r="A78" s="2" t="s">
        <v>19</v>
      </c>
      <c r="B78" s="2" t="s">
        <v>8</v>
      </c>
      <c r="C78" s="2">
        <v>3</v>
      </c>
      <c r="D78" s="2">
        <v>18.24</v>
      </c>
      <c r="E78" s="2">
        <v>2007</v>
      </c>
      <c r="F78" s="2" t="s">
        <v>9</v>
      </c>
      <c r="G78" s="2">
        <v>13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/>
      <c r="U78" s="2">
        <v>0</v>
      </c>
      <c r="V78" s="2">
        <v>0</v>
      </c>
      <c r="W78" s="2">
        <v>18.24</v>
      </c>
      <c r="X78" s="2">
        <v>18.24</v>
      </c>
      <c r="Y78" s="2">
        <v>18.24</v>
      </c>
      <c r="Z78" s="2">
        <v>18.24</v>
      </c>
      <c r="AA78" s="2">
        <v>18.24</v>
      </c>
    </row>
    <row r="79" spans="1:27" ht="15">
      <c r="A79" s="2" t="s">
        <v>19</v>
      </c>
      <c r="B79" s="2" t="s">
        <v>8</v>
      </c>
      <c r="C79" s="2">
        <v>4</v>
      </c>
      <c r="D79" s="2">
        <v>20.44</v>
      </c>
      <c r="E79" s="2">
        <v>2006</v>
      </c>
      <c r="F79" s="2" t="s">
        <v>9</v>
      </c>
      <c r="G79" s="2">
        <v>12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/>
      <c r="U79" s="2">
        <v>0</v>
      </c>
      <c r="V79" s="2">
        <v>0</v>
      </c>
      <c r="W79" s="2">
        <v>20.44</v>
      </c>
      <c r="X79" s="2">
        <v>20.44</v>
      </c>
      <c r="Y79" s="2">
        <v>20.44</v>
      </c>
      <c r="Z79" s="2">
        <v>20.44</v>
      </c>
      <c r="AA79" s="2">
        <v>20.44</v>
      </c>
    </row>
    <row r="80" spans="1:27" ht="15">
      <c r="A80" s="2" t="s">
        <v>19</v>
      </c>
      <c r="B80" s="2" t="s">
        <v>8</v>
      </c>
      <c r="C80" s="2">
        <v>5</v>
      </c>
      <c r="D80" s="2">
        <v>25.38</v>
      </c>
      <c r="E80" s="2">
        <v>2007</v>
      </c>
      <c r="F80" s="2" t="s">
        <v>9</v>
      </c>
      <c r="G80" s="2">
        <v>13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/>
      <c r="U80" s="2">
        <v>0</v>
      </c>
      <c r="V80" s="2">
        <v>0</v>
      </c>
      <c r="W80" s="2">
        <v>25.38</v>
      </c>
      <c r="X80" s="2">
        <v>25.38</v>
      </c>
      <c r="Y80" s="2">
        <v>25.38</v>
      </c>
      <c r="Z80" s="2">
        <v>25.38</v>
      </c>
      <c r="AA80" s="2">
        <v>25.38</v>
      </c>
    </row>
    <row r="81" spans="1:27" ht="15">
      <c r="A81" s="2" t="s">
        <v>19</v>
      </c>
      <c r="B81" s="2" t="s">
        <v>8</v>
      </c>
      <c r="C81" s="2">
        <v>6</v>
      </c>
      <c r="D81" s="2">
        <v>10.53</v>
      </c>
      <c r="E81" s="2">
        <v>2007</v>
      </c>
      <c r="F81" s="2" t="s">
        <v>9</v>
      </c>
      <c r="G81" s="2">
        <v>13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/>
      <c r="U81" s="2">
        <v>0</v>
      </c>
      <c r="V81" s="2">
        <v>0</v>
      </c>
      <c r="W81" s="2">
        <v>10.53</v>
      </c>
      <c r="X81" s="2">
        <v>10.53</v>
      </c>
      <c r="Y81" s="2">
        <v>10.53</v>
      </c>
      <c r="Z81" s="2">
        <v>10.53</v>
      </c>
      <c r="AA81" s="2">
        <v>10.53</v>
      </c>
    </row>
    <row r="82" spans="1:27" ht="15">
      <c r="A82" s="2"/>
      <c r="B82" s="2"/>
      <c r="C82" s="2">
        <v>7</v>
      </c>
      <c r="D82" s="2">
        <v>13.59</v>
      </c>
      <c r="E82" s="2">
        <v>2007</v>
      </c>
      <c r="F82" s="2" t="s">
        <v>9</v>
      </c>
      <c r="G82" s="2">
        <v>13</v>
      </c>
      <c r="H82" s="2"/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/>
      <c r="U82" s="2">
        <v>0</v>
      </c>
      <c r="V82" s="2">
        <v>0</v>
      </c>
      <c r="W82" s="2">
        <v>13.59</v>
      </c>
      <c r="X82" s="2">
        <v>13.59</v>
      </c>
      <c r="Y82" s="2">
        <v>13.59</v>
      </c>
      <c r="Z82" s="2">
        <v>13.59</v>
      </c>
      <c r="AA82" s="2">
        <v>13.59</v>
      </c>
    </row>
    <row r="83" spans="1:27" ht="15">
      <c r="A83" s="2"/>
      <c r="B83" s="2"/>
      <c r="C83" s="2"/>
      <c r="D83" s="2">
        <f>SUM(D76:D82)</f>
        <v>135.07999999999998</v>
      </c>
      <c r="E83" s="2"/>
      <c r="F83" s="2"/>
      <c r="G83" s="2"/>
      <c r="H83" s="2">
        <f>SUM(H76:H82)</f>
        <v>0</v>
      </c>
      <c r="I83" s="2">
        <f aca="true" t="shared" si="11" ref="I83:V83">SUM(I76:I82)</f>
        <v>0</v>
      </c>
      <c r="J83" s="2">
        <f t="shared" si="11"/>
        <v>0</v>
      </c>
      <c r="K83" s="2">
        <f t="shared" si="11"/>
        <v>0</v>
      </c>
      <c r="L83" s="2">
        <f t="shared" si="11"/>
        <v>0</v>
      </c>
      <c r="M83" s="2">
        <f t="shared" si="11"/>
        <v>0</v>
      </c>
      <c r="N83" s="2">
        <f t="shared" si="11"/>
        <v>0</v>
      </c>
      <c r="O83" s="2">
        <f t="shared" si="11"/>
        <v>0</v>
      </c>
      <c r="P83" s="2">
        <f t="shared" si="11"/>
        <v>0</v>
      </c>
      <c r="Q83" s="2">
        <f t="shared" si="11"/>
        <v>0</v>
      </c>
      <c r="R83" s="2">
        <f t="shared" si="11"/>
        <v>0</v>
      </c>
      <c r="S83" s="2">
        <f t="shared" si="11"/>
        <v>0</v>
      </c>
      <c r="T83" s="2">
        <f t="shared" si="11"/>
        <v>0</v>
      </c>
      <c r="U83" s="2">
        <f t="shared" si="11"/>
        <v>0</v>
      </c>
      <c r="V83" s="2">
        <f t="shared" si="11"/>
        <v>0</v>
      </c>
      <c r="W83" s="2">
        <f>SUM(W76:W82)</f>
        <v>135.07999999999998</v>
      </c>
      <c r="X83" s="2">
        <f>SUM(X76:X82)</f>
        <v>135.07999999999998</v>
      </c>
      <c r="Y83" s="2">
        <f>SUM(Y76:Y82)</f>
        <v>135.07999999999998</v>
      </c>
      <c r="Z83" s="2">
        <f>SUM(Z76:Z82)</f>
        <v>135.07999999999998</v>
      </c>
      <c r="AA83" s="2">
        <f>SUM(AA76:AA82)</f>
        <v>135.07999999999998</v>
      </c>
    </row>
    <row r="86" spans="1:3" ht="15">
      <c r="A86" t="s">
        <v>0</v>
      </c>
      <c r="C86" t="s">
        <v>24</v>
      </c>
    </row>
    <row r="87" spans="8:27" ht="15">
      <c r="H87" s="2" t="s">
        <v>26</v>
      </c>
      <c r="I87" s="2" t="s">
        <v>27</v>
      </c>
      <c r="J87" s="2" t="s">
        <v>28</v>
      </c>
      <c r="K87" s="2"/>
      <c r="L87" s="2"/>
      <c r="M87" s="2"/>
      <c r="N87" s="2" t="s">
        <v>29</v>
      </c>
      <c r="O87" s="2"/>
      <c r="P87" s="2"/>
      <c r="Q87" s="2" t="s">
        <v>30</v>
      </c>
      <c r="R87" s="2" t="s">
        <v>30</v>
      </c>
      <c r="S87" s="2" t="s">
        <v>31</v>
      </c>
      <c r="T87" s="2"/>
      <c r="U87" s="2" t="s">
        <v>32</v>
      </c>
      <c r="V87" s="2" t="s">
        <v>32</v>
      </c>
      <c r="W87" s="2"/>
      <c r="X87" s="2"/>
      <c r="Y87" s="2"/>
      <c r="Z87" s="2"/>
      <c r="AA87" s="2"/>
    </row>
    <row r="88" spans="1:27" ht="15">
      <c r="A88" s="2" t="s">
        <v>2</v>
      </c>
      <c r="B88" s="2" t="s">
        <v>3</v>
      </c>
      <c r="C88" s="2" t="s">
        <v>4</v>
      </c>
      <c r="D88" s="2" t="s">
        <v>5</v>
      </c>
      <c r="E88" s="2" t="s">
        <v>6</v>
      </c>
      <c r="F88" s="2" t="s">
        <v>7</v>
      </c>
      <c r="G88" s="1" t="s">
        <v>25</v>
      </c>
      <c r="H88" s="2"/>
      <c r="I88" s="2"/>
      <c r="J88" s="2" t="s">
        <v>33</v>
      </c>
      <c r="K88" s="2" t="s">
        <v>34</v>
      </c>
      <c r="L88" s="2" t="s">
        <v>35</v>
      </c>
      <c r="M88" s="2" t="s">
        <v>36</v>
      </c>
      <c r="N88" s="2" t="s">
        <v>33</v>
      </c>
      <c r="O88" s="2" t="s">
        <v>34</v>
      </c>
      <c r="P88" s="2" t="s">
        <v>35</v>
      </c>
      <c r="Q88" s="2" t="s">
        <v>33</v>
      </c>
      <c r="R88" s="2" t="s">
        <v>37</v>
      </c>
      <c r="S88" s="2" t="s">
        <v>38</v>
      </c>
      <c r="T88" s="2"/>
      <c r="U88" s="2" t="s">
        <v>38</v>
      </c>
      <c r="V88" s="2" t="s">
        <v>39</v>
      </c>
      <c r="W88" s="2" t="s">
        <v>38</v>
      </c>
      <c r="X88" s="2" t="s">
        <v>40</v>
      </c>
      <c r="Y88" s="2" t="s">
        <v>41</v>
      </c>
      <c r="Z88" s="2" t="s">
        <v>42</v>
      </c>
      <c r="AA88" s="2" t="s">
        <v>43</v>
      </c>
    </row>
    <row r="89" spans="1:27" ht="15">
      <c r="A89" s="2" t="s">
        <v>24</v>
      </c>
      <c r="B89" s="2" t="s">
        <v>8</v>
      </c>
      <c r="C89" s="2">
        <v>1</v>
      </c>
      <c r="D89" s="2">
        <v>8.37</v>
      </c>
      <c r="E89" s="2">
        <v>2006</v>
      </c>
      <c r="F89" s="2" t="s">
        <v>9</v>
      </c>
      <c r="G89" s="2">
        <v>10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/>
      <c r="U89" s="2">
        <v>0</v>
      </c>
      <c r="V89" s="2">
        <v>0</v>
      </c>
      <c r="W89" s="2">
        <v>8.37</v>
      </c>
      <c r="X89" s="2">
        <v>8.37</v>
      </c>
      <c r="Y89" s="2">
        <v>8.37</v>
      </c>
      <c r="Z89" s="2">
        <v>8.37</v>
      </c>
      <c r="AA89" s="2">
        <v>8.37</v>
      </c>
    </row>
    <row r="90" spans="1:27" ht="15">
      <c r="A90" s="2" t="s">
        <v>24</v>
      </c>
      <c r="B90" s="2" t="s">
        <v>8</v>
      </c>
      <c r="C90" s="2">
        <v>2</v>
      </c>
      <c r="D90" s="2">
        <v>14.43</v>
      </c>
      <c r="E90" s="2">
        <v>2006</v>
      </c>
      <c r="F90" s="2" t="s">
        <v>9</v>
      </c>
      <c r="G90" s="2">
        <v>10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/>
      <c r="U90" s="2">
        <v>0</v>
      </c>
      <c r="V90" s="2">
        <v>0</v>
      </c>
      <c r="W90" s="2">
        <v>14.43</v>
      </c>
      <c r="X90" s="2">
        <v>14.43</v>
      </c>
      <c r="Y90" s="2">
        <v>14.43</v>
      </c>
      <c r="Z90" s="2">
        <v>14.43</v>
      </c>
      <c r="AA90" s="2">
        <v>14.43</v>
      </c>
    </row>
    <row r="91" spans="1:27" ht="15">
      <c r="A91" s="2" t="s">
        <v>24</v>
      </c>
      <c r="B91" s="2" t="s">
        <v>8</v>
      </c>
      <c r="C91" s="2">
        <v>3</v>
      </c>
      <c r="D91" s="2">
        <v>20.8</v>
      </c>
      <c r="E91" s="2">
        <v>2006</v>
      </c>
      <c r="F91" s="2" t="s">
        <v>9</v>
      </c>
      <c r="G91" s="2">
        <v>10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/>
      <c r="U91" s="2">
        <v>0</v>
      </c>
      <c r="V91" s="2">
        <v>0</v>
      </c>
      <c r="W91" s="2">
        <v>20.8</v>
      </c>
      <c r="X91" s="2">
        <v>20.8</v>
      </c>
      <c r="Y91" s="2">
        <v>20.8</v>
      </c>
      <c r="Z91" s="2">
        <v>20.8</v>
      </c>
      <c r="AA91" s="2">
        <v>20.8</v>
      </c>
    </row>
    <row r="92" spans="1:27" ht="15">
      <c r="A92" s="2" t="s">
        <v>24</v>
      </c>
      <c r="B92" s="2" t="s">
        <v>8</v>
      </c>
      <c r="C92" s="2">
        <v>4</v>
      </c>
      <c r="D92" s="2">
        <v>27.85</v>
      </c>
      <c r="E92" s="2">
        <v>2006</v>
      </c>
      <c r="F92" s="2" t="s">
        <v>9</v>
      </c>
      <c r="G92" s="2">
        <v>10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/>
      <c r="U92" s="2">
        <v>0</v>
      </c>
      <c r="V92" s="2">
        <v>0</v>
      </c>
      <c r="W92" s="2">
        <v>27.85</v>
      </c>
      <c r="X92" s="2">
        <v>27.85</v>
      </c>
      <c r="Y92" s="2">
        <v>27.85</v>
      </c>
      <c r="Z92" s="2">
        <v>27.85</v>
      </c>
      <c r="AA92" s="2">
        <v>27.85</v>
      </c>
    </row>
    <row r="93" spans="1:27" ht="15">
      <c r="A93" s="2" t="s">
        <v>24</v>
      </c>
      <c r="B93" s="2" t="s">
        <v>8</v>
      </c>
      <c r="C93" s="2">
        <v>5</v>
      </c>
      <c r="D93" s="2">
        <v>20.43</v>
      </c>
      <c r="E93" s="2">
        <v>2006</v>
      </c>
      <c r="F93" s="2" t="s">
        <v>9</v>
      </c>
      <c r="G93" s="2">
        <v>10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/>
      <c r="U93" s="2">
        <v>0</v>
      </c>
      <c r="V93" s="2">
        <v>0</v>
      </c>
      <c r="W93" s="2">
        <v>20.43</v>
      </c>
      <c r="X93" s="2">
        <v>20.43</v>
      </c>
      <c r="Y93" s="2">
        <v>20.43</v>
      </c>
      <c r="Z93" s="2">
        <v>20.43</v>
      </c>
      <c r="AA93" s="2">
        <v>20.43</v>
      </c>
    </row>
    <row r="94" spans="1:27" ht="15">
      <c r="A94" s="2"/>
      <c r="B94" s="2"/>
      <c r="C94" s="2"/>
      <c r="D94" s="2">
        <f>SUM(D89:D93)</f>
        <v>91.88</v>
      </c>
      <c r="E94" s="2"/>
      <c r="F94" s="2"/>
      <c r="G94" s="2"/>
      <c r="H94" s="2">
        <f aca="true" t="shared" si="12" ref="H94:S94">SUM(H89:H93)</f>
        <v>0</v>
      </c>
      <c r="I94" s="2">
        <f t="shared" si="12"/>
        <v>0</v>
      </c>
      <c r="J94" s="2">
        <f t="shared" si="12"/>
        <v>0</v>
      </c>
      <c r="K94" s="2">
        <f t="shared" si="12"/>
        <v>0</v>
      </c>
      <c r="L94" s="2">
        <f t="shared" si="12"/>
        <v>0</v>
      </c>
      <c r="M94" s="2">
        <f t="shared" si="12"/>
        <v>0</v>
      </c>
      <c r="N94" s="2">
        <f t="shared" si="12"/>
        <v>0</v>
      </c>
      <c r="O94" s="2">
        <f t="shared" si="12"/>
        <v>0</v>
      </c>
      <c r="P94" s="2">
        <f t="shared" si="12"/>
        <v>0</v>
      </c>
      <c r="Q94" s="2">
        <f t="shared" si="12"/>
        <v>0</v>
      </c>
      <c r="R94" s="2">
        <f t="shared" si="12"/>
        <v>0</v>
      </c>
      <c r="S94" s="2">
        <f t="shared" si="12"/>
        <v>0</v>
      </c>
      <c r="T94" s="2"/>
      <c r="U94" s="2">
        <f aca="true" t="shared" si="13" ref="U94:AA94">SUM(U89:U93)</f>
        <v>0</v>
      </c>
      <c r="V94" s="2">
        <f t="shared" si="13"/>
        <v>0</v>
      </c>
      <c r="W94" s="2">
        <f t="shared" si="13"/>
        <v>91.88</v>
      </c>
      <c r="X94" s="2">
        <f t="shared" si="13"/>
        <v>91.88</v>
      </c>
      <c r="Y94" s="2">
        <f t="shared" si="13"/>
        <v>91.88</v>
      </c>
      <c r="Z94" s="2">
        <f t="shared" si="13"/>
        <v>91.88</v>
      </c>
      <c r="AA94" s="2">
        <f t="shared" si="13"/>
        <v>91.88</v>
      </c>
    </row>
    <row r="95" spans="1:27" ht="15">
      <c r="A95" s="2" t="s">
        <v>51</v>
      </c>
      <c r="B95" s="2"/>
      <c r="C95" s="2"/>
      <c r="D95" s="2">
        <f>D94+D83+D71+D62+D52+D40+D29+D20+D11</f>
        <v>1085.1699999999998</v>
      </c>
      <c r="E95" s="2"/>
      <c r="F95" s="2"/>
      <c r="G95" s="2"/>
      <c r="H95" s="2">
        <f>H94+H83+H71+H62+H52+H40+H29+H20+H11</f>
        <v>0</v>
      </c>
      <c r="I95" s="2">
        <f aca="true" t="shared" si="14" ref="I95:AA95">I94+I83+I71+I62+I52+I40+I29+I20+I11</f>
        <v>0</v>
      </c>
      <c r="J95" s="2">
        <f t="shared" si="14"/>
        <v>0</v>
      </c>
      <c r="K95" s="2">
        <f t="shared" si="14"/>
        <v>0</v>
      </c>
      <c r="L95" s="2">
        <f t="shared" si="14"/>
        <v>0</v>
      </c>
      <c r="M95" s="2">
        <f t="shared" si="14"/>
        <v>0</v>
      </c>
      <c r="N95" s="2">
        <f t="shared" si="14"/>
        <v>0</v>
      </c>
      <c r="O95" s="2">
        <f t="shared" si="14"/>
        <v>0</v>
      </c>
      <c r="P95" s="2">
        <f t="shared" si="14"/>
        <v>0</v>
      </c>
      <c r="Q95" s="2">
        <f t="shared" si="14"/>
        <v>0</v>
      </c>
      <c r="R95" s="2">
        <f t="shared" si="14"/>
        <v>0</v>
      </c>
      <c r="S95" s="2">
        <f t="shared" si="14"/>
        <v>0</v>
      </c>
      <c r="T95" s="2">
        <f t="shared" si="14"/>
        <v>0</v>
      </c>
      <c r="U95" s="2">
        <f t="shared" si="14"/>
        <v>0</v>
      </c>
      <c r="V95" s="2">
        <f t="shared" si="14"/>
        <v>0</v>
      </c>
      <c r="W95" s="2">
        <f t="shared" si="14"/>
        <v>1085.1699999999998</v>
      </c>
      <c r="X95" s="2">
        <f t="shared" si="14"/>
        <v>1085.1699999999998</v>
      </c>
      <c r="Y95" s="2">
        <f t="shared" si="14"/>
        <v>1085.1699999999998</v>
      </c>
      <c r="Z95" s="2">
        <f t="shared" si="14"/>
        <v>1085.1699999999998</v>
      </c>
      <c r="AA95" s="2">
        <f t="shared" si="14"/>
        <v>1085.1699999999998</v>
      </c>
    </row>
    <row r="96" spans="1:27" ht="15">
      <c r="A96" s="2" t="s">
        <v>65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>
        <f>SUM(J95:M95)</f>
        <v>0</v>
      </c>
      <c r="N96" s="2"/>
      <c r="O96" s="2"/>
      <c r="P96" s="2">
        <f>SUM(N95:P95)</f>
        <v>0</v>
      </c>
      <c r="Q96" s="2">
        <f>Q95</f>
        <v>0</v>
      </c>
      <c r="R96" s="2">
        <f>R95</f>
        <v>0</v>
      </c>
      <c r="S96" s="2">
        <f>S95</f>
        <v>0</v>
      </c>
      <c r="T96" s="2"/>
      <c r="U96" s="2">
        <f aca="true" t="shared" si="15" ref="U96:AA96">U95</f>
        <v>0</v>
      </c>
      <c r="V96" s="2">
        <f t="shared" si="15"/>
        <v>0</v>
      </c>
      <c r="W96" s="2">
        <f t="shared" si="15"/>
        <v>1085.1699999999998</v>
      </c>
      <c r="X96" s="2">
        <f t="shared" si="15"/>
        <v>1085.1699999999998</v>
      </c>
      <c r="Y96" s="2">
        <f t="shared" si="15"/>
        <v>1085.1699999999998</v>
      </c>
      <c r="Z96" s="2">
        <f t="shared" si="15"/>
        <v>1085.1699999999998</v>
      </c>
      <c r="AA96" s="2">
        <f t="shared" si="15"/>
        <v>1085.1699999999998</v>
      </c>
    </row>
    <row r="99" spans="1:6" ht="15">
      <c r="A99" t="s">
        <v>52</v>
      </c>
      <c r="D99" t="s">
        <v>63</v>
      </c>
      <c r="E99" t="s">
        <v>64</v>
      </c>
      <c r="F99" t="s">
        <v>51</v>
      </c>
    </row>
    <row r="101" spans="1:6" ht="15">
      <c r="A101" t="s">
        <v>53</v>
      </c>
      <c r="D101" s="12">
        <f>H95</f>
        <v>0</v>
      </c>
      <c r="F101" s="12"/>
    </row>
    <row r="102" spans="1:6" ht="15">
      <c r="A102" t="s">
        <v>54</v>
      </c>
      <c r="D102" s="12">
        <f>M96</f>
        <v>0</v>
      </c>
      <c r="F102" s="12"/>
    </row>
    <row r="103" spans="1:6" ht="15">
      <c r="A103" t="s">
        <v>55</v>
      </c>
      <c r="D103" s="12">
        <f>P96</f>
        <v>0</v>
      </c>
      <c r="F103" s="12"/>
    </row>
    <row r="104" spans="1:6" ht="15">
      <c r="A104" t="s">
        <v>56</v>
      </c>
      <c r="D104" s="12">
        <f>Q96</f>
        <v>0</v>
      </c>
      <c r="F104" s="12"/>
    </row>
    <row r="105" spans="1:6" ht="15">
      <c r="A105" t="s">
        <v>60</v>
      </c>
      <c r="D105" s="12">
        <f>R96</f>
        <v>0</v>
      </c>
      <c r="F105" s="12"/>
    </row>
    <row r="106" spans="1:6" ht="15">
      <c r="A106" t="s">
        <v>57</v>
      </c>
      <c r="D106" s="12">
        <f>S96</f>
        <v>0</v>
      </c>
      <c r="F106" s="12"/>
    </row>
    <row r="107" spans="1:6" ht="15">
      <c r="A107" t="s">
        <v>58</v>
      </c>
      <c r="D107" s="12">
        <f>U96</f>
        <v>0</v>
      </c>
      <c r="F107" s="12"/>
    </row>
    <row r="108" spans="1:6" ht="15">
      <c r="A108" t="s">
        <v>61</v>
      </c>
      <c r="D108" s="12">
        <f>V96</f>
        <v>0</v>
      </c>
      <c r="F108" s="12"/>
    </row>
    <row r="109" spans="1:6" ht="15">
      <c r="A109" t="s">
        <v>59</v>
      </c>
      <c r="D109" s="12">
        <f>W96</f>
        <v>1085.1699999999998</v>
      </c>
      <c r="F109" s="12"/>
    </row>
    <row r="110" spans="1:6" ht="15">
      <c r="A110" t="s">
        <v>62</v>
      </c>
      <c r="D110" s="12">
        <f>X96</f>
        <v>1085.1699999999998</v>
      </c>
      <c r="F110" s="12"/>
    </row>
    <row r="111" spans="1:6" ht="15">
      <c r="A111" t="s">
        <v>51</v>
      </c>
      <c r="F111" s="12">
        <f>SUM(F101:F110)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45">
      <selection activeCell="I140" sqref="I140"/>
    </sheetView>
  </sheetViews>
  <sheetFormatPr defaultColWidth="9.140625" defaultRowHeight="15"/>
  <cols>
    <col min="1" max="1" width="21.8515625" style="0" bestFit="1" customWidth="1"/>
  </cols>
  <sheetData>
    <row r="1" spans="1:5" ht="15">
      <c r="A1" t="s">
        <v>44</v>
      </c>
      <c r="C1" s="11">
        <v>11</v>
      </c>
      <c r="E1" s="1" t="s">
        <v>45</v>
      </c>
    </row>
    <row r="5" spans="1:3" ht="15">
      <c r="A5" t="s">
        <v>0</v>
      </c>
      <c r="C5" t="s">
        <v>1</v>
      </c>
    </row>
    <row r="7" spans="1:7" ht="1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1" t="s">
        <v>45</v>
      </c>
    </row>
    <row r="8" spans="1:7" ht="15">
      <c r="A8" s="2" t="s">
        <v>1</v>
      </c>
      <c r="B8" s="2" t="s">
        <v>8</v>
      </c>
      <c r="C8" s="2">
        <v>1</v>
      </c>
      <c r="D8" s="2">
        <v>41.14</v>
      </c>
      <c r="E8" s="2">
        <v>2004</v>
      </c>
      <c r="F8" s="2" t="s">
        <v>9</v>
      </c>
      <c r="G8" s="2">
        <v>6</v>
      </c>
    </row>
    <row r="9" spans="1:7" ht="15">
      <c r="A9" s="2" t="s">
        <v>1</v>
      </c>
      <c r="B9" s="2" t="s">
        <v>8</v>
      </c>
      <c r="C9" s="2">
        <v>2</v>
      </c>
      <c r="D9" s="2">
        <v>33.92</v>
      </c>
      <c r="E9" s="2">
        <v>2004</v>
      </c>
      <c r="F9" s="2" t="s">
        <v>9</v>
      </c>
      <c r="G9" s="2">
        <v>6</v>
      </c>
    </row>
    <row r="10" spans="1:7" ht="15">
      <c r="A10" s="2" t="s">
        <v>1</v>
      </c>
      <c r="B10" s="2" t="s">
        <v>8</v>
      </c>
      <c r="C10" s="2">
        <v>3</v>
      </c>
      <c r="D10" s="2">
        <v>23.82</v>
      </c>
      <c r="E10" s="2">
        <v>2004</v>
      </c>
      <c r="F10" s="2" t="s">
        <v>9</v>
      </c>
      <c r="G10" s="2">
        <v>6</v>
      </c>
    </row>
    <row r="11" spans="1:7" ht="15">
      <c r="A11" s="2" t="s">
        <v>1</v>
      </c>
      <c r="B11" s="2" t="s">
        <v>8</v>
      </c>
      <c r="C11" s="2">
        <v>4</v>
      </c>
      <c r="D11" s="2">
        <v>29.74</v>
      </c>
      <c r="E11" s="2">
        <v>2004</v>
      </c>
      <c r="F11" s="2" t="s">
        <v>9</v>
      </c>
      <c r="G11" s="2">
        <v>6</v>
      </c>
    </row>
    <row r="12" spans="1:7" ht="15">
      <c r="A12" s="2" t="s">
        <v>1</v>
      </c>
      <c r="B12" s="2" t="s">
        <v>8</v>
      </c>
      <c r="C12" s="2">
        <v>5</v>
      </c>
      <c r="D12" s="2">
        <v>12.14</v>
      </c>
      <c r="E12" s="2">
        <v>2008</v>
      </c>
      <c r="F12" s="2" t="s">
        <v>9</v>
      </c>
      <c r="G12" s="2">
        <v>2</v>
      </c>
    </row>
    <row r="13" spans="1:7" ht="15">
      <c r="A13" s="2" t="s">
        <v>1</v>
      </c>
      <c r="B13" s="2" t="s">
        <v>8</v>
      </c>
      <c r="C13" s="2">
        <v>6</v>
      </c>
      <c r="D13" s="2">
        <v>7.49</v>
      </c>
      <c r="E13" s="2">
        <v>2008</v>
      </c>
      <c r="F13" s="2" t="s">
        <v>9</v>
      </c>
      <c r="G13" s="2">
        <v>2</v>
      </c>
    </row>
    <row r="14" spans="1:7" ht="15">
      <c r="A14" s="2"/>
      <c r="B14" s="2"/>
      <c r="C14" s="2"/>
      <c r="D14" s="2">
        <f>SUM(D8:D13)</f>
        <v>148.25</v>
      </c>
      <c r="E14" s="2"/>
      <c r="F14" s="2"/>
      <c r="G14" s="2"/>
    </row>
    <row r="16" spans="1:3" ht="15">
      <c r="A16" t="s">
        <v>0</v>
      </c>
      <c r="C16" t="s">
        <v>10</v>
      </c>
    </row>
    <row r="18" spans="1:7" ht="15">
      <c r="A18" s="2" t="s">
        <v>2</v>
      </c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1" t="s">
        <v>45</v>
      </c>
    </row>
    <row r="19" spans="1:7" ht="15">
      <c r="A19" s="2" t="s">
        <v>10</v>
      </c>
      <c r="B19" s="2" t="s">
        <v>8</v>
      </c>
      <c r="C19" s="2">
        <v>1</v>
      </c>
      <c r="D19" s="2">
        <v>21.59</v>
      </c>
      <c r="E19" s="2">
        <v>2006</v>
      </c>
      <c r="F19" s="2" t="s">
        <v>9</v>
      </c>
      <c r="G19" s="2">
        <v>4</v>
      </c>
    </row>
    <row r="20" spans="1:7" ht="15">
      <c r="A20" s="2" t="s">
        <v>10</v>
      </c>
      <c r="B20" s="2" t="s">
        <v>8</v>
      </c>
      <c r="C20" s="2">
        <v>2</v>
      </c>
      <c r="D20" s="2">
        <v>22.59</v>
      </c>
      <c r="E20" s="2">
        <v>2005</v>
      </c>
      <c r="F20" s="2" t="s">
        <v>9</v>
      </c>
      <c r="G20" s="2">
        <v>5</v>
      </c>
    </row>
    <row r="21" spans="1:7" ht="15">
      <c r="A21" s="2" t="s">
        <v>10</v>
      </c>
      <c r="B21" s="2" t="s">
        <v>8</v>
      </c>
      <c r="C21" s="2">
        <v>3</v>
      </c>
      <c r="D21" s="2">
        <v>10.82</v>
      </c>
      <c r="E21" s="2">
        <v>2006</v>
      </c>
      <c r="F21" s="2" t="s">
        <v>9</v>
      </c>
      <c r="G21" s="2">
        <v>4</v>
      </c>
    </row>
    <row r="22" spans="1:7" ht="15">
      <c r="A22" s="2" t="s">
        <v>10</v>
      </c>
      <c r="B22" s="2" t="s">
        <v>8</v>
      </c>
      <c r="C22" s="2">
        <v>4</v>
      </c>
      <c r="D22" s="2">
        <v>18.3</v>
      </c>
      <c r="E22" s="2">
        <v>2006</v>
      </c>
      <c r="F22" s="2" t="s">
        <v>11</v>
      </c>
      <c r="G22" s="2">
        <v>4</v>
      </c>
    </row>
    <row r="23" spans="1:7" ht="15">
      <c r="A23" s="2"/>
      <c r="B23" s="2"/>
      <c r="C23" s="2"/>
      <c r="D23" s="2">
        <f>SUM(D19:D22)</f>
        <v>73.3</v>
      </c>
      <c r="E23" s="2"/>
      <c r="F23" s="2"/>
      <c r="G23" s="2"/>
    </row>
    <row r="25" spans="1:3" ht="15">
      <c r="A25" t="s">
        <v>0</v>
      </c>
      <c r="C25" t="s">
        <v>12</v>
      </c>
    </row>
    <row r="27" spans="1:7" ht="15">
      <c r="A27" s="2" t="s">
        <v>2</v>
      </c>
      <c r="B27" s="2" t="s">
        <v>3</v>
      </c>
      <c r="C27" s="2" t="s">
        <v>4</v>
      </c>
      <c r="D27" s="2" t="s">
        <v>5</v>
      </c>
      <c r="E27" s="2" t="s">
        <v>6</v>
      </c>
      <c r="F27" s="2" t="s">
        <v>7</v>
      </c>
      <c r="G27" s="1" t="s">
        <v>45</v>
      </c>
    </row>
    <row r="28" spans="1:7" ht="15">
      <c r="A28" s="2" t="s">
        <v>12</v>
      </c>
      <c r="B28" s="2" t="s">
        <v>8</v>
      </c>
      <c r="C28" s="2">
        <v>1</v>
      </c>
      <c r="D28" s="2">
        <v>41.29</v>
      </c>
      <c r="E28" s="2">
        <v>2005</v>
      </c>
      <c r="F28" s="2" t="s">
        <v>9</v>
      </c>
      <c r="G28" s="2">
        <v>5</v>
      </c>
    </row>
    <row r="29" spans="1:7" ht="15">
      <c r="A29" s="2" t="s">
        <v>12</v>
      </c>
      <c r="B29" s="2" t="s">
        <v>8</v>
      </c>
      <c r="C29" s="2">
        <v>2</v>
      </c>
      <c r="D29" s="2">
        <v>17.26</v>
      </c>
      <c r="E29" s="2">
        <v>2005</v>
      </c>
      <c r="F29" s="2" t="s">
        <v>9</v>
      </c>
      <c r="G29" s="2">
        <v>5</v>
      </c>
    </row>
    <row r="30" spans="1:7" ht="15">
      <c r="A30" s="2" t="s">
        <v>12</v>
      </c>
      <c r="B30" s="2" t="s">
        <v>8</v>
      </c>
      <c r="C30" s="2">
        <v>3</v>
      </c>
      <c r="D30" s="2">
        <v>28.89</v>
      </c>
      <c r="E30" s="2">
        <v>2005</v>
      </c>
      <c r="F30" s="2" t="s">
        <v>9</v>
      </c>
      <c r="G30" s="2">
        <v>5</v>
      </c>
    </row>
    <row r="31" spans="1:7" ht="15">
      <c r="A31" s="2" t="s">
        <v>12</v>
      </c>
      <c r="B31" s="2" t="s">
        <v>8</v>
      </c>
      <c r="C31" s="2">
        <v>4</v>
      </c>
      <c r="D31" s="2">
        <v>27.81</v>
      </c>
      <c r="E31" s="2">
        <v>2005</v>
      </c>
      <c r="F31" s="2" t="s">
        <v>9</v>
      </c>
      <c r="G31" s="2">
        <v>5</v>
      </c>
    </row>
    <row r="32" spans="1:7" ht="15">
      <c r="A32" s="2"/>
      <c r="B32" s="2"/>
      <c r="C32" s="2"/>
      <c r="D32" s="2">
        <f>SUM(D28:D31)</f>
        <v>115.25</v>
      </c>
      <c r="E32" s="2"/>
      <c r="F32" s="2"/>
      <c r="G32" s="2"/>
    </row>
    <row r="34" spans="1:3" ht="15">
      <c r="A34" t="s">
        <v>0</v>
      </c>
      <c r="C34" t="s">
        <v>13</v>
      </c>
    </row>
    <row r="36" spans="1:7" ht="15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1" t="s">
        <v>45</v>
      </c>
    </row>
    <row r="37" spans="1:7" ht="15">
      <c r="A37" s="2" t="s">
        <v>13</v>
      </c>
      <c r="B37" s="2" t="s">
        <v>8</v>
      </c>
      <c r="C37" s="2">
        <v>1</v>
      </c>
      <c r="D37" s="2">
        <v>32.72</v>
      </c>
      <c r="E37" s="2">
        <v>2006</v>
      </c>
      <c r="F37" s="2" t="s">
        <v>9</v>
      </c>
      <c r="G37" s="2">
        <v>4</v>
      </c>
    </row>
    <row r="38" spans="1:7" ht="15">
      <c r="A38" s="2" t="s">
        <v>13</v>
      </c>
      <c r="B38" s="2" t="s">
        <v>8</v>
      </c>
      <c r="C38" s="2">
        <v>2</v>
      </c>
      <c r="D38" s="2">
        <v>24.58</v>
      </c>
      <c r="E38" s="2">
        <v>2006</v>
      </c>
      <c r="F38" s="2" t="s">
        <v>9</v>
      </c>
      <c r="G38" s="2">
        <v>4</v>
      </c>
    </row>
    <row r="39" spans="1:7" ht="15">
      <c r="A39" s="2" t="s">
        <v>13</v>
      </c>
      <c r="B39" s="2" t="s">
        <v>8</v>
      </c>
      <c r="C39" s="2">
        <v>3</v>
      </c>
      <c r="D39" s="2">
        <v>20.58</v>
      </c>
      <c r="E39" s="2">
        <v>2006</v>
      </c>
      <c r="F39" s="2" t="s">
        <v>9</v>
      </c>
      <c r="G39" s="2">
        <v>4</v>
      </c>
    </row>
    <row r="40" spans="1:7" ht="15">
      <c r="A40" s="2" t="s">
        <v>13</v>
      </c>
      <c r="B40" s="2" t="s">
        <v>8</v>
      </c>
      <c r="C40" s="2">
        <v>4</v>
      </c>
      <c r="D40" s="2">
        <v>22.75</v>
      </c>
      <c r="E40" s="2">
        <v>2006</v>
      </c>
      <c r="F40" s="2" t="s">
        <v>9</v>
      </c>
      <c r="G40" s="2">
        <v>4</v>
      </c>
    </row>
    <row r="41" spans="1:7" ht="15">
      <c r="A41" s="2" t="s">
        <v>13</v>
      </c>
      <c r="B41" s="2" t="s">
        <v>8</v>
      </c>
      <c r="C41" s="2">
        <v>5</v>
      </c>
      <c r="D41" s="2">
        <v>13.11</v>
      </c>
      <c r="E41" s="2">
        <v>2006</v>
      </c>
      <c r="F41" s="2" t="s">
        <v>9</v>
      </c>
      <c r="G41" s="2">
        <v>4</v>
      </c>
    </row>
    <row r="42" spans="1:7" ht="15">
      <c r="A42" s="2" t="s">
        <v>13</v>
      </c>
      <c r="B42" s="2" t="s">
        <v>8</v>
      </c>
      <c r="C42" s="2">
        <v>6</v>
      </c>
      <c r="D42" s="2">
        <v>33.31</v>
      </c>
      <c r="E42" s="2">
        <v>2006</v>
      </c>
      <c r="F42" s="2" t="s">
        <v>9</v>
      </c>
      <c r="G42" s="2">
        <v>4</v>
      </c>
    </row>
    <row r="43" spans="1:7" ht="15">
      <c r="A43" s="2"/>
      <c r="B43" s="2"/>
      <c r="C43" s="2"/>
      <c r="D43" s="2">
        <f>SUM(D37:D42)</f>
        <v>147.05</v>
      </c>
      <c r="E43" s="2"/>
      <c r="F43" s="2"/>
      <c r="G43" s="2"/>
    </row>
    <row r="45" spans="1:3" ht="15">
      <c r="A45" t="s">
        <v>0</v>
      </c>
      <c r="C45" t="s">
        <v>14</v>
      </c>
    </row>
    <row r="47" spans="1:7" ht="15">
      <c r="A47" s="2" t="s">
        <v>2</v>
      </c>
      <c r="B47" s="2" t="s">
        <v>3</v>
      </c>
      <c r="C47" s="2" t="s">
        <v>4</v>
      </c>
      <c r="D47" s="2" t="s">
        <v>5</v>
      </c>
      <c r="E47" s="2" t="s">
        <v>6</v>
      </c>
      <c r="F47" s="2" t="s">
        <v>7</v>
      </c>
      <c r="G47" s="1" t="s">
        <v>45</v>
      </c>
    </row>
    <row r="48" spans="1:7" ht="15">
      <c r="A48" s="2" t="s">
        <v>14</v>
      </c>
      <c r="B48" s="2" t="s">
        <v>8</v>
      </c>
      <c r="C48" s="2">
        <v>1</v>
      </c>
      <c r="D48" s="2">
        <v>19.06</v>
      </c>
      <c r="E48" s="2">
        <v>2006</v>
      </c>
      <c r="F48" s="2" t="s">
        <v>9</v>
      </c>
      <c r="G48" s="2">
        <v>4</v>
      </c>
    </row>
    <row r="49" spans="1:7" ht="15">
      <c r="A49" s="2" t="s">
        <v>14</v>
      </c>
      <c r="B49" s="2" t="s">
        <v>8</v>
      </c>
      <c r="C49" s="2">
        <v>2</v>
      </c>
      <c r="D49" s="2">
        <v>34.77</v>
      </c>
      <c r="E49" s="2">
        <v>2006</v>
      </c>
      <c r="F49" s="2" t="s">
        <v>9</v>
      </c>
      <c r="G49" s="2">
        <v>4</v>
      </c>
    </row>
    <row r="50" spans="1:7" ht="15">
      <c r="A50" s="2" t="s">
        <v>14</v>
      </c>
      <c r="B50" s="2" t="s">
        <v>8</v>
      </c>
      <c r="C50" s="2">
        <v>3</v>
      </c>
      <c r="D50" s="2">
        <v>30.64</v>
      </c>
      <c r="E50" s="2">
        <v>2006</v>
      </c>
      <c r="F50" s="2" t="s">
        <v>9</v>
      </c>
      <c r="G50" s="2">
        <v>4</v>
      </c>
    </row>
    <row r="51" spans="1:7" ht="15">
      <c r="A51" s="2" t="s">
        <v>14</v>
      </c>
      <c r="B51" s="2" t="s">
        <v>8</v>
      </c>
      <c r="C51" s="2">
        <v>4</v>
      </c>
      <c r="D51" s="2">
        <v>20.52</v>
      </c>
      <c r="E51" s="2">
        <v>2006</v>
      </c>
      <c r="F51" s="2" t="s">
        <v>9</v>
      </c>
      <c r="G51" s="2">
        <v>4</v>
      </c>
    </row>
    <row r="52" spans="1:7" ht="15">
      <c r="A52" s="2" t="s">
        <v>14</v>
      </c>
      <c r="B52" s="2" t="s">
        <v>8</v>
      </c>
      <c r="C52" s="2">
        <v>5</v>
      </c>
      <c r="D52" s="2">
        <v>31.9</v>
      </c>
      <c r="E52" s="2">
        <v>2006</v>
      </c>
      <c r="F52" s="2" t="s">
        <v>9</v>
      </c>
      <c r="G52" s="2">
        <v>4</v>
      </c>
    </row>
    <row r="53" spans="1:7" ht="15">
      <c r="A53" s="2" t="s">
        <v>14</v>
      </c>
      <c r="B53" s="2" t="s">
        <v>8</v>
      </c>
      <c r="C53" s="2">
        <v>6</v>
      </c>
      <c r="D53" s="2">
        <v>32.44</v>
      </c>
      <c r="E53" s="2">
        <v>2006</v>
      </c>
      <c r="F53" s="2" t="s">
        <v>9</v>
      </c>
      <c r="G53" s="2">
        <v>4</v>
      </c>
    </row>
    <row r="54" spans="1:7" ht="15">
      <c r="A54" s="2" t="s">
        <v>14</v>
      </c>
      <c r="B54" s="2" t="s">
        <v>8</v>
      </c>
      <c r="C54" s="2">
        <v>7</v>
      </c>
      <c r="D54" s="2">
        <v>9.51</v>
      </c>
      <c r="E54" s="2">
        <v>2007</v>
      </c>
      <c r="F54" s="2" t="s">
        <v>9</v>
      </c>
      <c r="G54" s="2">
        <v>3</v>
      </c>
    </row>
    <row r="55" spans="1:7" ht="15">
      <c r="A55" s="2"/>
      <c r="B55" s="2"/>
      <c r="C55" s="2"/>
      <c r="D55" s="2">
        <f>SUM(D48:D54)</f>
        <v>178.83999999999997</v>
      </c>
      <c r="E55" s="2"/>
      <c r="F55" s="2"/>
      <c r="G55" s="2"/>
    </row>
    <row r="56" spans="1:7" ht="15">
      <c r="A56" s="3"/>
      <c r="B56" s="3"/>
      <c r="C56" s="3"/>
      <c r="D56" s="3"/>
      <c r="E56" s="3"/>
      <c r="F56" s="3"/>
      <c r="G56" s="3"/>
    </row>
    <row r="57" spans="1:3" ht="15">
      <c r="A57" t="s">
        <v>0</v>
      </c>
      <c r="C57" t="s">
        <v>46</v>
      </c>
    </row>
    <row r="59" spans="1:7" ht="15">
      <c r="A59" s="2" t="s">
        <v>2</v>
      </c>
      <c r="B59" s="2" t="s">
        <v>3</v>
      </c>
      <c r="C59" s="2" t="s">
        <v>4</v>
      </c>
      <c r="D59" s="2" t="s">
        <v>5</v>
      </c>
      <c r="E59" s="2" t="s">
        <v>6</v>
      </c>
      <c r="F59" s="2" t="s">
        <v>7</v>
      </c>
      <c r="G59" s="1" t="s">
        <v>45</v>
      </c>
    </row>
    <row r="60" spans="1:7" ht="15">
      <c r="A60" s="2" t="s">
        <v>46</v>
      </c>
      <c r="B60" s="2" t="s">
        <v>8</v>
      </c>
      <c r="C60" s="2">
        <v>7</v>
      </c>
      <c r="D60" s="4" t="s">
        <v>47</v>
      </c>
      <c r="E60" s="2">
        <v>2000</v>
      </c>
      <c r="F60" s="2" t="s">
        <v>11</v>
      </c>
      <c r="G60" s="2">
        <v>10</v>
      </c>
    </row>
    <row r="61" spans="1:7" ht="15">
      <c r="A61" s="2" t="s">
        <v>46</v>
      </c>
      <c r="B61" s="2" t="s">
        <v>8</v>
      </c>
      <c r="C61" s="2">
        <v>8</v>
      </c>
      <c r="D61" s="2">
        <v>9.53</v>
      </c>
      <c r="E61" s="2">
        <v>1998</v>
      </c>
      <c r="F61" s="2" t="s">
        <v>11</v>
      </c>
      <c r="G61" s="2">
        <v>12</v>
      </c>
    </row>
    <row r="62" spans="1:7" ht="15">
      <c r="A62" s="2" t="s">
        <v>46</v>
      </c>
      <c r="B62" s="2" t="s">
        <v>8</v>
      </c>
      <c r="C62" s="2">
        <v>9</v>
      </c>
      <c r="D62" s="2">
        <v>19.06</v>
      </c>
      <c r="E62" s="2">
        <v>2000</v>
      </c>
      <c r="F62" s="2" t="s">
        <v>11</v>
      </c>
      <c r="G62" s="2">
        <v>10</v>
      </c>
    </row>
    <row r="63" spans="1:7" ht="15">
      <c r="A63" s="2" t="s">
        <v>46</v>
      </c>
      <c r="B63" s="2" t="s">
        <v>8</v>
      </c>
      <c r="C63" s="2">
        <v>10</v>
      </c>
      <c r="D63" s="2">
        <v>15.69</v>
      </c>
      <c r="E63" s="2">
        <v>1998</v>
      </c>
      <c r="F63" s="2" t="s">
        <v>11</v>
      </c>
      <c r="G63" s="2">
        <v>12</v>
      </c>
    </row>
    <row r="64" spans="1:7" ht="15">
      <c r="A64" s="2" t="s">
        <v>46</v>
      </c>
      <c r="B64" s="2" t="s">
        <v>8</v>
      </c>
      <c r="C64" s="2">
        <v>11</v>
      </c>
      <c r="D64" s="2">
        <v>23.23</v>
      </c>
      <c r="E64" s="2">
        <v>1999</v>
      </c>
      <c r="F64" s="2" t="s">
        <v>11</v>
      </c>
      <c r="G64" s="2">
        <v>11</v>
      </c>
    </row>
    <row r="65" spans="1:7" ht="15">
      <c r="A65" s="2" t="s">
        <v>46</v>
      </c>
      <c r="B65" s="2" t="s">
        <v>8</v>
      </c>
      <c r="C65" s="2">
        <v>12</v>
      </c>
      <c r="D65" s="2">
        <v>10.21</v>
      </c>
      <c r="E65" s="4">
        <v>1997</v>
      </c>
      <c r="F65" s="2" t="s">
        <v>11</v>
      </c>
      <c r="G65" s="4">
        <v>13</v>
      </c>
    </row>
    <row r="66" spans="1:7" ht="15">
      <c r="A66" s="2" t="s">
        <v>46</v>
      </c>
      <c r="B66" s="2" t="s">
        <v>8</v>
      </c>
      <c r="C66" s="2">
        <v>13</v>
      </c>
      <c r="D66" s="2">
        <v>21.7</v>
      </c>
      <c r="E66" s="2">
        <v>1997</v>
      </c>
      <c r="F66" s="2" t="s">
        <v>11</v>
      </c>
      <c r="G66" s="2">
        <v>13</v>
      </c>
    </row>
    <row r="67" spans="1:7" ht="15">
      <c r="A67" s="2"/>
      <c r="B67" s="2"/>
      <c r="C67" s="2"/>
      <c r="D67" s="2">
        <f>SUM(D60:D66)</f>
        <v>99.42</v>
      </c>
      <c r="E67" s="2"/>
      <c r="F67" s="2"/>
      <c r="G67" s="2"/>
    </row>
    <row r="68" spans="1:7" ht="15">
      <c r="A68" s="3"/>
      <c r="B68" s="3"/>
      <c r="C68" s="3"/>
      <c r="D68" s="3"/>
      <c r="E68" s="3"/>
      <c r="F68" s="3"/>
      <c r="G68" s="3"/>
    </row>
    <row r="69" spans="1:7" ht="15">
      <c r="A69" s="3"/>
      <c r="B69" s="3"/>
      <c r="C69" s="3"/>
      <c r="D69" s="3"/>
      <c r="E69" s="3"/>
      <c r="F69" s="3"/>
      <c r="G69" s="3"/>
    </row>
    <row r="71" spans="1:3" ht="15">
      <c r="A71" t="s">
        <v>0</v>
      </c>
      <c r="C71" t="s">
        <v>48</v>
      </c>
    </row>
    <row r="73" spans="1:7" ht="15">
      <c r="A73" s="2" t="s">
        <v>2</v>
      </c>
      <c r="B73" s="2" t="s">
        <v>3</v>
      </c>
      <c r="C73" s="2" t="s">
        <v>4</v>
      </c>
      <c r="D73" s="2" t="s">
        <v>5</v>
      </c>
      <c r="E73" s="2" t="s">
        <v>6</v>
      </c>
      <c r="F73" s="2" t="s">
        <v>7</v>
      </c>
      <c r="G73" s="1" t="s">
        <v>45</v>
      </c>
    </row>
    <row r="74" spans="1:7" ht="15">
      <c r="A74" s="2" t="s">
        <v>48</v>
      </c>
      <c r="B74" s="2" t="s">
        <v>8</v>
      </c>
      <c r="C74" s="2">
        <v>1</v>
      </c>
      <c r="D74" s="2">
        <v>40.94</v>
      </c>
      <c r="E74" s="2">
        <v>2001</v>
      </c>
      <c r="F74" s="2" t="s">
        <v>11</v>
      </c>
      <c r="G74" s="2">
        <v>9</v>
      </c>
    </row>
    <row r="75" spans="1:7" ht="15">
      <c r="A75" s="2" t="s">
        <v>48</v>
      </c>
      <c r="B75" s="2" t="s">
        <v>8</v>
      </c>
      <c r="C75" s="2">
        <v>2</v>
      </c>
      <c r="D75" s="2">
        <v>36.79</v>
      </c>
      <c r="E75" s="2">
        <v>2001</v>
      </c>
      <c r="F75" s="2" t="s">
        <v>11</v>
      </c>
      <c r="G75" s="2">
        <v>9</v>
      </c>
    </row>
    <row r="76" spans="1:7" ht="15">
      <c r="A76" s="2" t="s">
        <v>48</v>
      </c>
      <c r="B76" s="2" t="s">
        <v>8</v>
      </c>
      <c r="C76" s="2">
        <v>3</v>
      </c>
      <c r="D76" s="2">
        <v>41.81</v>
      </c>
      <c r="E76" s="2">
        <v>2002</v>
      </c>
      <c r="F76" s="2" t="s">
        <v>11</v>
      </c>
      <c r="G76" s="2">
        <v>8</v>
      </c>
    </row>
    <row r="77" spans="1:7" ht="15">
      <c r="A77" s="2" t="s">
        <v>48</v>
      </c>
      <c r="B77" s="2" t="s">
        <v>8</v>
      </c>
      <c r="C77" s="2">
        <v>4</v>
      </c>
      <c r="D77" s="2">
        <v>25.7</v>
      </c>
      <c r="E77" s="2">
        <v>2001</v>
      </c>
      <c r="F77" s="2" t="s">
        <v>11</v>
      </c>
      <c r="G77" s="2">
        <v>9</v>
      </c>
    </row>
    <row r="78" spans="1:7" ht="15">
      <c r="A78" s="2" t="s">
        <v>48</v>
      </c>
      <c r="B78" s="2" t="s">
        <v>8</v>
      </c>
      <c r="C78" s="2">
        <v>5</v>
      </c>
      <c r="D78" s="2">
        <v>58.21</v>
      </c>
      <c r="E78" s="2">
        <v>2002</v>
      </c>
      <c r="F78" s="2" t="s">
        <v>11</v>
      </c>
      <c r="G78" s="2">
        <v>8</v>
      </c>
    </row>
    <row r="79" spans="1:7" ht="15">
      <c r="A79" s="2" t="s">
        <v>48</v>
      </c>
      <c r="B79" s="2" t="s">
        <v>8</v>
      </c>
      <c r="C79" s="2">
        <v>6</v>
      </c>
      <c r="D79" s="2">
        <v>47.91</v>
      </c>
      <c r="E79" s="4">
        <v>2002</v>
      </c>
      <c r="F79" s="2" t="s">
        <v>11</v>
      </c>
      <c r="G79" s="4">
        <v>8</v>
      </c>
    </row>
    <row r="80" spans="1:7" ht="15">
      <c r="A80" s="2" t="s">
        <v>48</v>
      </c>
      <c r="B80" s="2" t="s">
        <v>8</v>
      </c>
      <c r="C80" s="2">
        <v>7</v>
      </c>
      <c r="D80" s="2">
        <v>48.31</v>
      </c>
      <c r="E80" s="4">
        <v>2002</v>
      </c>
      <c r="F80" s="2" t="s">
        <v>11</v>
      </c>
      <c r="G80" s="2">
        <v>8</v>
      </c>
    </row>
    <row r="81" spans="1:7" ht="15">
      <c r="A81" s="2" t="s">
        <v>48</v>
      </c>
      <c r="B81" s="2" t="s">
        <v>8</v>
      </c>
      <c r="C81" s="2">
        <v>8</v>
      </c>
      <c r="D81" s="2">
        <v>48.37</v>
      </c>
      <c r="E81" s="4">
        <v>2002</v>
      </c>
      <c r="F81" s="2" t="s">
        <v>11</v>
      </c>
      <c r="G81" s="2">
        <v>8</v>
      </c>
    </row>
    <row r="82" spans="1:7" ht="15">
      <c r="A82" s="2" t="s">
        <v>48</v>
      </c>
      <c r="B82" s="2" t="s">
        <v>8</v>
      </c>
      <c r="C82" s="2">
        <v>9</v>
      </c>
      <c r="D82" s="2">
        <v>19.05</v>
      </c>
      <c r="E82" s="4">
        <v>2002</v>
      </c>
      <c r="F82" s="2" t="s">
        <v>11</v>
      </c>
      <c r="G82" s="2">
        <v>8</v>
      </c>
    </row>
    <row r="83" spans="1:7" ht="15">
      <c r="A83" s="2" t="s">
        <v>48</v>
      </c>
      <c r="B83" s="2" t="s">
        <v>8</v>
      </c>
      <c r="C83" s="2">
        <v>10</v>
      </c>
      <c r="D83" s="2">
        <v>15</v>
      </c>
      <c r="E83" s="4">
        <v>2002</v>
      </c>
      <c r="F83" s="2" t="s">
        <v>11</v>
      </c>
      <c r="G83" s="2">
        <v>8</v>
      </c>
    </row>
    <row r="84" spans="1:7" ht="15">
      <c r="A84" s="2" t="s">
        <v>48</v>
      </c>
      <c r="B84" s="2" t="s">
        <v>8</v>
      </c>
      <c r="C84" s="2">
        <v>11</v>
      </c>
      <c r="D84" s="2">
        <v>26.15</v>
      </c>
      <c r="E84" s="4">
        <v>2002</v>
      </c>
      <c r="F84" s="2" t="s">
        <v>11</v>
      </c>
      <c r="G84" s="2">
        <v>8</v>
      </c>
    </row>
    <row r="85" spans="1:7" ht="15">
      <c r="A85" s="2" t="s">
        <v>48</v>
      </c>
      <c r="B85" s="2" t="s">
        <v>8</v>
      </c>
      <c r="C85" s="2">
        <v>12</v>
      </c>
      <c r="D85" s="2">
        <v>30.8</v>
      </c>
      <c r="E85" s="4">
        <v>2002</v>
      </c>
      <c r="F85" s="2" t="s">
        <v>11</v>
      </c>
      <c r="G85" s="2">
        <v>8</v>
      </c>
    </row>
    <row r="86" spans="1:7" ht="15">
      <c r="A86" s="2" t="s">
        <v>48</v>
      </c>
      <c r="B86" s="2" t="s">
        <v>8</v>
      </c>
      <c r="C86" s="2">
        <v>13</v>
      </c>
      <c r="D86" s="2">
        <v>4.62</v>
      </c>
      <c r="E86" s="4">
        <v>2002</v>
      </c>
      <c r="F86" s="2" t="s">
        <v>11</v>
      </c>
      <c r="G86" s="2">
        <v>8</v>
      </c>
    </row>
    <row r="87" spans="1:7" ht="15">
      <c r="A87" s="2"/>
      <c r="B87" s="2"/>
      <c r="C87" s="2"/>
      <c r="D87" s="2">
        <f>SUM(D74:D86)</f>
        <v>443.65999999999997</v>
      </c>
      <c r="E87" s="2"/>
      <c r="F87" s="2"/>
      <c r="G87" s="2"/>
    </row>
    <row r="89" spans="1:3" ht="15">
      <c r="A89" t="s">
        <v>0</v>
      </c>
      <c r="C89" t="s">
        <v>49</v>
      </c>
    </row>
    <row r="91" spans="1:7" ht="15">
      <c r="A91" s="2" t="s">
        <v>2</v>
      </c>
      <c r="B91" s="2" t="s">
        <v>3</v>
      </c>
      <c r="C91" s="2" t="s">
        <v>4</v>
      </c>
      <c r="D91" s="2" t="s">
        <v>5</v>
      </c>
      <c r="E91" s="2" t="s">
        <v>6</v>
      </c>
      <c r="F91" s="2" t="s">
        <v>7</v>
      </c>
      <c r="G91" s="1" t="s">
        <v>45</v>
      </c>
    </row>
    <row r="92" spans="1:7" ht="15">
      <c r="A92" s="2" t="s">
        <v>49</v>
      </c>
      <c r="B92" s="2" t="s">
        <v>8</v>
      </c>
      <c r="C92" s="2">
        <v>1</v>
      </c>
      <c r="D92" s="2">
        <v>56.26</v>
      </c>
      <c r="E92" s="2">
        <v>2003</v>
      </c>
      <c r="F92" s="2" t="s">
        <v>9</v>
      </c>
      <c r="G92" s="2">
        <v>7</v>
      </c>
    </row>
    <row r="93" spans="1:7" ht="15">
      <c r="A93" s="2" t="s">
        <v>49</v>
      </c>
      <c r="B93" s="2" t="s">
        <v>8</v>
      </c>
      <c r="C93" s="2">
        <v>2</v>
      </c>
      <c r="D93" s="2">
        <v>52.68</v>
      </c>
      <c r="E93" s="2">
        <v>2005</v>
      </c>
      <c r="F93" s="2" t="s">
        <v>11</v>
      </c>
      <c r="G93" s="2">
        <v>5</v>
      </c>
    </row>
    <row r="94" spans="1:7" ht="15">
      <c r="A94" s="2" t="s">
        <v>49</v>
      </c>
      <c r="B94" s="2" t="s">
        <v>8</v>
      </c>
      <c r="C94" s="2">
        <v>3</v>
      </c>
      <c r="D94" s="2">
        <v>42.31</v>
      </c>
      <c r="E94" s="2">
        <v>2004</v>
      </c>
      <c r="F94" s="2" t="s">
        <v>9</v>
      </c>
      <c r="G94" s="2">
        <v>6</v>
      </c>
    </row>
    <row r="95" spans="1:7" ht="15">
      <c r="A95" s="2" t="s">
        <v>49</v>
      </c>
      <c r="B95" s="2" t="s">
        <v>8</v>
      </c>
      <c r="C95" s="2">
        <v>4</v>
      </c>
      <c r="D95" s="2">
        <v>11.5</v>
      </c>
      <c r="E95" s="2">
        <v>2004</v>
      </c>
      <c r="F95" s="2" t="s">
        <v>9</v>
      </c>
      <c r="G95" s="2">
        <v>6</v>
      </c>
    </row>
    <row r="96" spans="1:7" ht="15">
      <c r="A96" s="2" t="s">
        <v>49</v>
      </c>
      <c r="B96" s="2" t="s">
        <v>8</v>
      </c>
      <c r="C96" s="2" t="s">
        <v>15</v>
      </c>
      <c r="D96" s="2">
        <v>31.04</v>
      </c>
      <c r="E96" s="2">
        <v>2006</v>
      </c>
      <c r="F96" s="2" t="s">
        <v>11</v>
      </c>
      <c r="G96" s="2">
        <v>4</v>
      </c>
    </row>
    <row r="97" spans="1:7" ht="15">
      <c r="A97" s="2"/>
      <c r="B97" s="2"/>
      <c r="C97" s="2"/>
      <c r="D97" s="2">
        <f>SUM(D92:D96)</f>
        <v>193.79</v>
      </c>
      <c r="E97" s="2"/>
      <c r="F97" s="2"/>
      <c r="G97" s="2"/>
    </row>
    <row r="100" spans="1:3" ht="15">
      <c r="A100" t="s">
        <v>0</v>
      </c>
      <c r="C100" t="s">
        <v>16</v>
      </c>
    </row>
    <row r="102" spans="1:7" ht="15">
      <c r="A102" s="2" t="s">
        <v>2</v>
      </c>
      <c r="B102" s="2" t="s">
        <v>3</v>
      </c>
      <c r="C102" s="2" t="s">
        <v>4</v>
      </c>
      <c r="D102" s="2" t="s">
        <v>5</v>
      </c>
      <c r="E102" s="2" t="s">
        <v>6</v>
      </c>
      <c r="F102" s="2" t="s">
        <v>7</v>
      </c>
      <c r="G102" s="1" t="s">
        <v>45</v>
      </c>
    </row>
    <row r="103" spans="1:7" ht="15">
      <c r="A103" s="2" t="s">
        <v>16</v>
      </c>
      <c r="B103" s="2" t="s">
        <v>8</v>
      </c>
      <c r="C103" s="2">
        <v>1</v>
      </c>
      <c r="D103" s="2">
        <v>25.85</v>
      </c>
      <c r="E103" s="2">
        <v>2005</v>
      </c>
      <c r="F103" s="2" t="s">
        <v>9</v>
      </c>
      <c r="G103" s="2">
        <v>5</v>
      </c>
    </row>
    <row r="104" spans="1:7" ht="15">
      <c r="A104" s="2" t="s">
        <v>16</v>
      </c>
      <c r="B104" s="2" t="s">
        <v>8</v>
      </c>
      <c r="C104" s="2">
        <v>2</v>
      </c>
      <c r="D104" s="2">
        <v>32.77</v>
      </c>
      <c r="E104" s="2">
        <v>2005</v>
      </c>
      <c r="F104" s="2" t="s">
        <v>9</v>
      </c>
      <c r="G104" s="2">
        <v>5</v>
      </c>
    </row>
    <row r="105" spans="1:7" ht="15">
      <c r="A105" s="2" t="s">
        <v>16</v>
      </c>
      <c r="B105" s="2" t="s">
        <v>8</v>
      </c>
      <c r="C105" s="2">
        <v>3</v>
      </c>
      <c r="D105" s="2">
        <v>36.3</v>
      </c>
      <c r="E105" s="2">
        <v>2005</v>
      </c>
      <c r="F105" s="2" t="s">
        <v>9</v>
      </c>
      <c r="G105" s="2">
        <v>5</v>
      </c>
    </row>
    <row r="106" spans="1:7" ht="15">
      <c r="A106" s="2" t="s">
        <v>16</v>
      </c>
      <c r="B106" s="2" t="s">
        <v>8</v>
      </c>
      <c r="C106" s="2">
        <v>4</v>
      </c>
      <c r="D106" s="2">
        <v>13.6</v>
      </c>
      <c r="E106" s="2">
        <v>2005</v>
      </c>
      <c r="F106" s="2" t="s">
        <v>9</v>
      </c>
      <c r="G106" s="2">
        <v>5</v>
      </c>
    </row>
    <row r="107" spans="1:7" ht="15">
      <c r="A107" s="2" t="s">
        <v>16</v>
      </c>
      <c r="B107" s="2" t="s">
        <v>8</v>
      </c>
      <c r="C107" s="2" t="s">
        <v>15</v>
      </c>
      <c r="D107" s="2">
        <v>12.42</v>
      </c>
      <c r="E107" s="2">
        <v>2005</v>
      </c>
      <c r="F107" s="2" t="s">
        <v>9</v>
      </c>
      <c r="G107" s="2">
        <v>5</v>
      </c>
    </row>
    <row r="108" spans="1:7" ht="15">
      <c r="A108" s="2"/>
      <c r="B108" s="2"/>
      <c r="C108" s="2"/>
      <c r="D108" s="2">
        <f>SUM(D103:D107)</f>
        <v>120.94</v>
      </c>
      <c r="E108" s="2"/>
      <c r="F108" s="2"/>
      <c r="G108" s="2"/>
    </row>
    <row r="110" spans="1:3" ht="15">
      <c r="A110" t="s">
        <v>0</v>
      </c>
      <c r="C110" t="s">
        <v>17</v>
      </c>
    </row>
    <row r="112" spans="1:7" ht="15">
      <c r="A112" s="2" t="s">
        <v>2</v>
      </c>
      <c r="B112" s="2" t="s">
        <v>3</v>
      </c>
      <c r="C112" s="2" t="s">
        <v>4</v>
      </c>
      <c r="D112" s="2" t="s">
        <v>5</v>
      </c>
      <c r="E112" s="2" t="s">
        <v>6</v>
      </c>
      <c r="F112" s="2" t="s">
        <v>7</v>
      </c>
      <c r="G112" s="1" t="s">
        <v>45</v>
      </c>
    </row>
    <row r="113" spans="1:7" ht="15">
      <c r="A113" s="2" t="s">
        <v>17</v>
      </c>
      <c r="B113" s="2" t="s">
        <v>8</v>
      </c>
      <c r="C113" s="2">
        <v>1</v>
      </c>
      <c r="D113" s="2">
        <v>16.95</v>
      </c>
      <c r="E113" s="2">
        <v>2003</v>
      </c>
      <c r="F113" s="2" t="s">
        <v>11</v>
      </c>
      <c r="G113" s="2">
        <v>7</v>
      </c>
    </row>
    <row r="114" spans="1:7" ht="15">
      <c r="A114" s="2" t="s">
        <v>17</v>
      </c>
      <c r="B114" s="2" t="s">
        <v>8</v>
      </c>
      <c r="C114" s="2">
        <v>2</v>
      </c>
      <c r="D114" s="4" t="s">
        <v>18</v>
      </c>
      <c r="E114" s="2">
        <v>2006</v>
      </c>
      <c r="F114" s="2" t="s">
        <v>9</v>
      </c>
      <c r="G114" s="2">
        <v>4</v>
      </c>
    </row>
    <row r="115" spans="1:7" ht="15">
      <c r="A115" s="2" t="s">
        <v>17</v>
      </c>
      <c r="B115" s="2" t="s">
        <v>8</v>
      </c>
      <c r="C115" s="2">
        <v>3</v>
      </c>
      <c r="D115" s="2">
        <v>23.44</v>
      </c>
      <c r="E115" s="2">
        <v>2006</v>
      </c>
      <c r="F115" s="2" t="s">
        <v>9</v>
      </c>
      <c r="G115" s="2">
        <v>4</v>
      </c>
    </row>
    <row r="116" spans="1:7" ht="15">
      <c r="A116" s="2"/>
      <c r="B116" s="2"/>
      <c r="C116" s="2"/>
      <c r="D116" s="4" t="s">
        <v>50</v>
      </c>
      <c r="E116" s="2"/>
      <c r="F116" s="2"/>
      <c r="G116" s="2"/>
    </row>
    <row r="118" spans="1:3" ht="15">
      <c r="A118" t="s">
        <v>0</v>
      </c>
      <c r="C118" t="s">
        <v>19</v>
      </c>
    </row>
    <row r="120" spans="1:7" ht="15">
      <c r="A120" s="2" t="s">
        <v>2</v>
      </c>
      <c r="B120" s="2" t="s">
        <v>3</v>
      </c>
      <c r="C120" s="2" t="s">
        <v>4</v>
      </c>
      <c r="D120" s="2" t="s">
        <v>5</v>
      </c>
      <c r="E120" s="2" t="s">
        <v>6</v>
      </c>
      <c r="F120" s="2" t="s">
        <v>7</v>
      </c>
      <c r="G120" s="1" t="s">
        <v>45</v>
      </c>
    </row>
    <row r="121" spans="1:7" ht="15">
      <c r="A121" s="2" t="s">
        <v>19</v>
      </c>
      <c r="B121" s="2" t="s">
        <v>8</v>
      </c>
      <c r="C121" s="2">
        <v>1</v>
      </c>
      <c r="D121" s="2">
        <v>21.4</v>
      </c>
      <c r="E121" s="2">
        <v>2007</v>
      </c>
      <c r="F121" s="2" t="s">
        <v>9</v>
      </c>
      <c r="G121" s="2">
        <v>3</v>
      </c>
    </row>
    <row r="122" spans="1:7" ht="15">
      <c r="A122" s="2" t="s">
        <v>19</v>
      </c>
      <c r="B122" s="2" t="s">
        <v>8</v>
      </c>
      <c r="C122" s="2">
        <v>2</v>
      </c>
      <c r="D122" s="2">
        <v>25.64</v>
      </c>
      <c r="E122" s="2">
        <v>2006</v>
      </c>
      <c r="F122" s="2" t="s">
        <v>9</v>
      </c>
      <c r="G122" s="2">
        <v>4</v>
      </c>
    </row>
    <row r="123" spans="1:7" ht="15">
      <c r="A123" s="2" t="s">
        <v>19</v>
      </c>
      <c r="B123" s="2" t="s">
        <v>8</v>
      </c>
      <c r="C123" s="2">
        <v>3</v>
      </c>
      <c r="D123" s="2">
        <v>18.23</v>
      </c>
      <c r="E123" s="2">
        <v>2007</v>
      </c>
      <c r="F123" s="2" t="s">
        <v>9</v>
      </c>
      <c r="G123" s="2">
        <v>3</v>
      </c>
    </row>
    <row r="124" spans="1:7" ht="15">
      <c r="A124" s="2" t="s">
        <v>19</v>
      </c>
      <c r="B124" s="2" t="s">
        <v>8</v>
      </c>
      <c r="C124" s="2">
        <v>4</v>
      </c>
      <c r="D124" s="2">
        <v>14.26</v>
      </c>
      <c r="E124" s="2">
        <v>2006</v>
      </c>
      <c r="F124" s="2" t="s">
        <v>9</v>
      </c>
      <c r="G124" s="2">
        <v>4</v>
      </c>
    </row>
    <row r="125" spans="1:7" ht="15">
      <c r="A125" s="2" t="s">
        <v>19</v>
      </c>
      <c r="B125" s="2" t="s">
        <v>8</v>
      </c>
      <c r="C125" s="2">
        <v>5</v>
      </c>
      <c r="D125" s="2">
        <v>32.1</v>
      </c>
      <c r="E125" s="2">
        <v>2007</v>
      </c>
      <c r="F125" s="2" t="s">
        <v>9</v>
      </c>
      <c r="G125" s="2">
        <v>3</v>
      </c>
    </row>
    <row r="126" spans="1:7" ht="15">
      <c r="A126" s="2" t="s">
        <v>19</v>
      </c>
      <c r="B126" s="2" t="s">
        <v>8</v>
      </c>
      <c r="C126" s="2">
        <v>6</v>
      </c>
      <c r="D126" s="2">
        <v>23.45</v>
      </c>
      <c r="E126" s="2">
        <v>2007</v>
      </c>
      <c r="F126" s="2" t="s">
        <v>9</v>
      </c>
      <c r="G126" s="2">
        <v>3</v>
      </c>
    </row>
    <row r="127" spans="1:7" ht="15">
      <c r="A127" s="2"/>
      <c r="B127" s="2"/>
      <c r="C127" s="2"/>
      <c r="D127" s="2">
        <f>SUM(D121:D126)</f>
        <v>135.07999999999998</v>
      </c>
      <c r="E127" s="2"/>
      <c r="F127" s="2"/>
      <c r="G127" s="2"/>
    </row>
    <row r="130" spans="1:3" ht="15">
      <c r="A130" t="s">
        <v>0</v>
      </c>
      <c r="C130" t="s">
        <v>20</v>
      </c>
    </row>
    <row r="132" spans="1:7" ht="15">
      <c r="A132" s="2" t="s">
        <v>2</v>
      </c>
      <c r="B132" s="2" t="s">
        <v>3</v>
      </c>
      <c r="C132" s="2" t="s">
        <v>4</v>
      </c>
      <c r="D132" s="2" t="s">
        <v>5</v>
      </c>
      <c r="E132" s="2" t="s">
        <v>6</v>
      </c>
      <c r="F132" s="2" t="s">
        <v>7</v>
      </c>
      <c r="G132" s="1" t="s">
        <v>45</v>
      </c>
    </row>
    <row r="133" spans="1:7" ht="15">
      <c r="A133" s="2" t="s">
        <v>20</v>
      </c>
      <c r="B133" s="2" t="s">
        <v>8</v>
      </c>
      <c r="C133" s="2">
        <v>1</v>
      </c>
      <c r="D133" s="2"/>
      <c r="E133" s="194"/>
      <c r="F133" s="2" t="s">
        <v>9</v>
      </c>
      <c r="G133" s="194"/>
    </row>
    <row r="134" spans="1:7" ht="15">
      <c r="A134" s="2" t="s">
        <v>20</v>
      </c>
      <c r="B134" s="2" t="s">
        <v>8</v>
      </c>
      <c r="C134" s="2">
        <v>2</v>
      </c>
      <c r="D134" s="2"/>
      <c r="E134" s="194"/>
      <c r="F134" s="2" t="s">
        <v>9</v>
      </c>
      <c r="G134" s="194"/>
    </row>
    <row r="135" spans="1:7" ht="15">
      <c r="A135" s="2" t="s">
        <v>20</v>
      </c>
      <c r="B135" s="2" t="s">
        <v>8</v>
      </c>
      <c r="C135" s="2">
        <v>3</v>
      </c>
      <c r="D135" s="2"/>
      <c r="E135" s="194"/>
      <c r="F135" s="2" t="s">
        <v>9</v>
      </c>
      <c r="G135" s="194"/>
    </row>
    <row r="136" spans="1:7" ht="15">
      <c r="A136" s="2" t="s">
        <v>20</v>
      </c>
      <c r="B136" s="2" t="s">
        <v>8</v>
      </c>
      <c r="C136" s="2">
        <v>4</v>
      </c>
      <c r="D136" s="2"/>
      <c r="E136" s="194"/>
      <c r="F136" s="2" t="s">
        <v>9</v>
      </c>
      <c r="G136" s="194"/>
    </row>
    <row r="137" spans="1:7" ht="15">
      <c r="A137" s="2" t="s">
        <v>20</v>
      </c>
      <c r="B137" s="2" t="s">
        <v>8</v>
      </c>
      <c r="C137" s="2">
        <v>5</v>
      </c>
      <c r="D137" s="2"/>
      <c r="E137" s="194"/>
      <c r="F137" s="2" t="s">
        <v>9</v>
      </c>
      <c r="G137" s="194"/>
    </row>
    <row r="138" spans="1:7" ht="15">
      <c r="A138" s="2" t="s">
        <v>20</v>
      </c>
      <c r="B138" s="2" t="s">
        <v>8</v>
      </c>
      <c r="C138" s="2">
        <v>6</v>
      </c>
      <c r="D138" s="2"/>
      <c r="E138" s="194"/>
      <c r="F138" s="2" t="s">
        <v>9</v>
      </c>
      <c r="G138" s="194"/>
    </row>
    <row r="139" spans="1:7" ht="15">
      <c r="A139" s="2" t="s">
        <v>20</v>
      </c>
      <c r="B139" s="2" t="s">
        <v>8</v>
      </c>
      <c r="C139" s="2">
        <v>7</v>
      </c>
      <c r="D139" s="2"/>
      <c r="E139" s="194"/>
      <c r="F139" s="2" t="s">
        <v>9</v>
      </c>
      <c r="G139" s="194"/>
    </row>
    <row r="140" spans="1:7" ht="15">
      <c r="A140" s="2"/>
      <c r="B140" s="2"/>
      <c r="C140" s="2"/>
      <c r="D140" s="2">
        <f>SUM(D133:D139)</f>
        <v>0</v>
      </c>
      <c r="E140" s="2"/>
      <c r="F140" s="2"/>
      <c r="G140" s="2"/>
    </row>
    <row r="142" spans="1:3" ht="15">
      <c r="A142" t="s">
        <v>0</v>
      </c>
      <c r="C142" t="s">
        <v>21</v>
      </c>
    </row>
    <row r="144" spans="1:7" ht="15">
      <c r="A144" s="2" t="s">
        <v>2</v>
      </c>
      <c r="B144" s="2" t="s">
        <v>3</v>
      </c>
      <c r="C144" s="2" t="s">
        <v>4</v>
      </c>
      <c r="D144" s="2" t="s">
        <v>5</v>
      </c>
      <c r="E144" s="2" t="s">
        <v>6</v>
      </c>
      <c r="F144" s="2" t="s">
        <v>7</v>
      </c>
      <c r="G144" s="1" t="s">
        <v>45</v>
      </c>
    </row>
    <row r="145" spans="1:7" ht="15">
      <c r="A145" s="2" t="s">
        <v>21</v>
      </c>
      <c r="B145" s="2" t="s">
        <v>22</v>
      </c>
      <c r="C145" s="2">
        <v>1</v>
      </c>
      <c r="D145" s="2"/>
      <c r="E145" s="194"/>
      <c r="F145" s="2" t="s">
        <v>9</v>
      </c>
      <c r="G145" s="194"/>
    </row>
    <row r="146" spans="1:7" ht="15">
      <c r="A146" s="2" t="s">
        <v>21</v>
      </c>
      <c r="B146" s="2" t="s">
        <v>22</v>
      </c>
      <c r="C146" s="2">
        <v>2</v>
      </c>
      <c r="D146" s="2"/>
      <c r="E146" s="194"/>
      <c r="F146" s="2" t="s">
        <v>9</v>
      </c>
      <c r="G146" s="194"/>
    </row>
    <row r="147" spans="1:7" ht="15">
      <c r="A147" s="2" t="s">
        <v>21</v>
      </c>
      <c r="B147" s="2" t="s">
        <v>22</v>
      </c>
      <c r="C147" s="2">
        <v>3</v>
      </c>
      <c r="D147" s="2"/>
      <c r="E147" s="194"/>
      <c r="F147" s="2" t="s">
        <v>9</v>
      </c>
      <c r="G147" s="194"/>
    </row>
    <row r="148" spans="1:7" ht="15">
      <c r="A148" s="2" t="s">
        <v>21</v>
      </c>
      <c r="B148" s="2" t="s">
        <v>22</v>
      </c>
      <c r="C148" s="4" t="s">
        <v>23</v>
      </c>
      <c r="D148" s="2"/>
      <c r="E148" s="194"/>
      <c r="F148" s="2" t="s">
        <v>9</v>
      </c>
      <c r="G148" s="194"/>
    </row>
    <row r="149" spans="1:7" ht="15">
      <c r="A149" s="2" t="s">
        <v>21</v>
      </c>
      <c r="B149" s="2" t="s">
        <v>22</v>
      </c>
      <c r="C149" s="2">
        <v>4</v>
      </c>
      <c r="D149" s="2"/>
      <c r="E149" s="194"/>
      <c r="F149" s="2" t="s">
        <v>9</v>
      </c>
      <c r="G149" s="194"/>
    </row>
    <row r="150" spans="1:7" ht="15">
      <c r="A150" s="2"/>
      <c r="B150" s="2"/>
      <c r="C150" s="2"/>
      <c r="D150" s="2">
        <f>SUM(D145:D149)</f>
        <v>0</v>
      </c>
      <c r="E150" s="2"/>
      <c r="F150" s="2"/>
      <c r="G150" s="2"/>
    </row>
    <row r="151" ht="15">
      <c r="D151">
        <f>D150+D140</f>
        <v>0</v>
      </c>
    </row>
    <row r="157" spans="1:3" ht="15">
      <c r="A157" t="s">
        <v>0</v>
      </c>
      <c r="C157" t="s">
        <v>24</v>
      </c>
    </row>
    <row r="159" spans="1:7" ht="15">
      <c r="A159" s="2" t="s">
        <v>2</v>
      </c>
      <c r="B159" s="2" t="s">
        <v>3</v>
      </c>
      <c r="C159" s="2" t="s">
        <v>4</v>
      </c>
      <c r="D159" s="2" t="s">
        <v>5</v>
      </c>
      <c r="E159" s="2" t="s">
        <v>6</v>
      </c>
      <c r="F159" s="2" t="s">
        <v>7</v>
      </c>
      <c r="G159" s="1" t="s">
        <v>45</v>
      </c>
    </row>
    <row r="160" spans="1:7" ht="15">
      <c r="A160" t="s">
        <v>24</v>
      </c>
      <c r="B160" t="s">
        <v>8</v>
      </c>
      <c r="C160" s="2">
        <v>1</v>
      </c>
      <c r="D160" s="2">
        <v>8.37</v>
      </c>
      <c r="E160" s="2">
        <v>2006</v>
      </c>
      <c r="F160" s="2" t="s">
        <v>9</v>
      </c>
      <c r="G160" s="2">
        <v>4</v>
      </c>
    </row>
    <row r="161" spans="1:7" ht="15">
      <c r="A161" t="s">
        <v>24</v>
      </c>
      <c r="B161" t="s">
        <v>8</v>
      </c>
      <c r="C161" s="2">
        <v>2</v>
      </c>
      <c r="D161" s="2">
        <v>14.43</v>
      </c>
      <c r="E161" s="2">
        <v>2006</v>
      </c>
      <c r="F161" s="2" t="s">
        <v>9</v>
      </c>
      <c r="G161" s="2">
        <v>4</v>
      </c>
    </row>
    <row r="162" spans="1:7" ht="15">
      <c r="A162" t="s">
        <v>24</v>
      </c>
      <c r="B162" t="s">
        <v>8</v>
      </c>
      <c r="C162" s="2">
        <v>3</v>
      </c>
      <c r="D162" s="2">
        <v>20.8</v>
      </c>
      <c r="E162" s="2">
        <v>2006</v>
      </c>
      <c r="F162" s="2" t="s">
        <v>9</v>
      </c>
      <c r="G162" s="2">
        <v>4</v>
      </c>
    </row>
    <row r="163" spans="1:7" ht="15">
      <c r="A163" t="s">
        <v>24</v>
      </c>
      <c r="B163" t="s">
        <v>8</v>
      </c>
      <c r="C163" s="2">
        <v>4</v>
      </c>
      <c r="D163" s="2">
        <v>27.85</v>
      </c>
      <c r="E163" s="2">
        <v>2006</v>
      </c>
      <c r="F163" s="2" t="s">
        <v>9</v>
      </c>
      <c r="G163" s="2">
        <v>4</v>
      </c>
    </row>
    <row r="164" spans="1:7" ht="15">
      <c r="A164" t="s">
        <v>24</v>
      </c>
      <c r="B164" t="s">
        <v>8</v>
      </c>
      <c r="C164" s="2">
        <v>5</v>
      </c>
      <c r="D164" s="2">
        <v>20.43</v>
      </c>
      <c r="E164" s="2">
        <v>2006</v>
      </c>
      <c r="F164" s="2" t="s">
        <v>9</v>
      </c>
      <c r="G164" s="2">
        <v>4</v>
      </c>
    </row>
    <row r="165" spans="2:7" ht="15">
      <c r="B165" s="2"/>
      <c r="C165" s="2"/>
      <c r="D165" s="2">
        <f>SUM(D160:D164)</f>
        <v>91.88</v>
      </c>
      <c r="E165" s="2"/>
      <c r="F165" s="2"/>
      <c r="G165" s="2"/>
    </row>
  </sheetData>
  <sheetProtection/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">
      <selection activeCell="I40" sqref="A1:I40"/>
    </sheetView>
  </sheetViews>
  <sheetFormatPr defaultColWidth="9.140625" defaultRowHeight="15"/>
  <cols>
    <col min="1" max="1" width="3.57421875" style="0" customWidth="1"/>
    <col min="2" max="2" width="35.140625" style="0" customWidth="1"/>
    <col min="4" max="4" width="18.140625" style="0" customWidth="1"/>
    <col min="5" max="5" width="13.00390625" style="0" customWidth="1"/>
    <col min="6" max="6" width="12.140625" style="0" bestFit="1" customWidth="1"/>
    <col min="8" max="8" width="12.28125" style="0" bestFit="1" customWidth="1"/>
    <col min="9" max="9" width="13.28125" style="0" bestFit="1" customWidth="1"/>
    <col min="10" max="10" width="13.7109375" style="0" customWidth="1"/>
    <col min="11" max="11" width="21.57421875" style="0" customWidth="1"/>
    <col min="12" max="12" width="13.140625" style="0" customWidth="1"/>
    <col min="13" max="13" width="12.140625" style="0" bestFit="1" customWidth="1"/>
    <col min="14" max="14" width="13.28125" style="0" bestFit="1" customWidth="1"/>
    <col min="15" max="15" width="17.8515625" style="0" customWidth="1"/>
  </cols>
  <sheetData>
    <row r="1" spans="1:15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thickBot="1" thickTop="1">
      <c r="A2" s="3"/>
      <c r="B2" s="3"/>
      <c r="C2" s="408" t="s">
        <v>196</v>
      </c>
      <c r="D2" s="409"/>
      <c r="E2" s="410"/>
      <c r="F2" s="408" t="s">
        <v>80</v>
      </c>
      <c r="G2" s="409"/>
      <c r="H2" s="410"/>
      <c r="I2" s="26" t="s">
        <v>81</v>
      </c>
      <c r="J2" s="3"/>
      <c r="K2" s="416" t="s">
        <v>82</v>
      </c>
      <c r="L2" s="417"/>
      <c r="M2" s="417"/>
      <c r="N2" s="417"/>
      <c r="O2" s="418"/>
    </row>
    <row r="3" spans="1:15" ht="16.5" thickBot="1" thickTop="1">
      <c r="A3" s="3"/>
      <c r="B3" s="3"/>
      <c r="C3" s="411" t="s">
        <v>83</v>
      </c>
      <c r="D3" s="412"/>
      <c r="E3" s="413"/>
      <c r="F3" s="412" t="s">
        <v>84</v>
      </c>
      <c r="G3" s="412"/>
      <c r="H3" s="413"/>
      <c r="I3" s="27" t="s">
        <v>51</v>
      </c>
      <c r="J3" s="3"/>
      <c r="K3" s="337" t="s">
        <v>85</v>
      </c>
      <c r="L3" s="338" t="s">
        <v>86</v>
      </c>
      <c r="M3" s="339" t="s">
        <v>87</v>
      </c>
      <c r="N3" s="339" t="s">
        <v>88</v>
      </c>
      <c r="O3" s="340" t="s">
        <v>89</v>
      </c>
    </row>
    <row r="4" spans="1:15" ht="16.5" thickBot="1" thickTop="1">
      <c r="A4" s="3"/>
      <c r="B4" s="28"/>
      <c r="C4" s="29" t="s">
        <v>90</v>
      </c>
      <c r="D4" s="30" t="s">
        <v>91</v>
      </c>
      <c r="E4" s="31" t="s">
        <v>92</v>
      </c>
      <c r="F4" s="32" t="s">
        <v>90</v>
      </c>
      <c r="G4" s="30" t="s">
        <v>91</v>
      </c>
      <c r="H4" s="31" t="s">
        <v>92</v>
      </c>
      <c r="I4" s="33" t="s">
        <v>92</v>
      </c>
      <c r="J4" s="3"/>
      <c r="K4" s="341" t="s">
        <v>195</v>
      </c>
      <c r="L4" s="342">
        <f>E39-anoPlantio!H40</f>
        <v>4148714.0199999996</v>
      </c>
      <c r="M4" s="342">
        <f>anoPlantio!H40</f>
        <v>520775.49000000005</v>
      </c>
      <c r="N4" s="342">
        <f>L4+M4</f>
        <v>4669489.51</v>
      </c>
      <c r="O4" s="343">
        <f>ROUND(N4/N6%,2)</f>
        <v>50</v>
      </c>
    </row>
    <row r="5" spans="1:15" ht="15.75" thickBot="1">
      <c r="A5" s="3"/>
      <c r="B5" s="36" t="s">
        <v>93</v>
      </c>
      <c r="C5" s="37">
        <f>anoPlantio!B12</f>
        <v>1085.17</v>
      </c>
      <c r="D5" s="38">
        <v>2555.64</v>
      </c>
      <c r="E5" s="39">
        <f aca="true" t="shared" si="0" ref="E5:E10">ROUND(C5*D5,2)</f>
        <v>2773303.86</v>
      </c>
      <c r="F5" s="40"/>
      <c r="G5" s="38"/>
      <c r="H5" s="39">
        <f aca="true" t="shared" si="1" ref="H5:H10">ROUND(F5*G5,2)</f>
        <v>0</v>
      </c>
      <c r="I5" s="41">
        <f aca="true" t="shared" si="2" ref="I5:I10">E5+H5</f>
        <v>2773303.86</v>
      </c>
      <c r="J5" s="3"/>
      <c r="K5" s="344" t="s">
        <v>94</v>
      </c>
      <c r="L5" s="345">
        <v>0</v>
      </c>
      <c r="M5" s="345">
        <f>H39</f>
        <v>4669489.51</v>
      </c>
      <c r="N5" s="345">
        <f>L5+M5</f>
        <v>4669489.51</v>
      </c>
      <c r="O5" s="346">
        <f>ROUND(N5/N6%,2)</f>
        <v>50</v>
      </c>
    </row>
    <row r="6" spans="1:15" ht="15.75" thickBot="1">
      <c r="A6" s="3"/>
      <c r="B6" s="44" t="s">
        <v>109</v>
      </c>
      <c r="C6" s="45">
        <f>ROUND(C5*2,2)</f>
        <v>2170.34</v>
      </c>
      <c r="D6" s="46">
        <v>677.25</v>
      </c>
      <c r="E6" s="47">
        <f t="shared" si="0"/>
        <v>1469862.77</v>
      </c>
      <c r="F6" s="48"/>
      <c r="G6" s="46"/>
      <c r="H6" s="47">
        <f t="shared" si="1"/>
        <v>0</v>
      </c>
      <c r="I6" s="49">
        <f t="shared" si="2"/>
        <v>1469862.77</v>
      </c>
      <c r="J6" s="3"/>
      <c r="K6" s="347" t="s">
        <v>88</v>
      </c>
      <c r="L6" s="348">
        <f>L4+L5</f>
        <v>4148714.0199999996</v>
      </c>
      <c r="M6" s="348">
        <f>M4+M5</f>
        <v>5190265</v>
      </c>
      <c r="N6" s="348">
        <f>N4+N5</f>
        <v>9338979.02</v>
      </c>
      <c r="O6" s="349">
        <f>O4+O5</f>
        <v>100</v>
      </c>
    </row>
    <row r="7" spans="1:15" ht="15.75" thickTop="1">
      <c r="A7" s="3"/>
      <c r="B7" s="52" t="s">
        <v>110</v>
      </c>
      <c r="C7" s="53">
        <f>C5</f>
        <v>1085.17</v>
      </c>
      <c r="D7" s="42">
        <v>677.25</v>
      </c>
      <c r="E7" s="54">
        <f t="shared" si="0"/>
        <v>734931.38</v>
      </c>
      <c r="F7" s="55"/>
      <c r="G7" s="42"/>
      <c r="H7" s="54">
        <f t="shared" si="1"/>
        <v>0</v>
      </c>
      <c r="I7" s="56">
        <f t="shared" si="2"/>
        <v>734931.38</v>
      </c>
      <c r="J7" s="3"/>
      <c r="K7" s="3"/>
      <c r="L7" s="3"/>
      <c r="M7" s="3"/>
      <c r="N7" s="3"/>
      <c r="O7" s="3"/>
    </row>
    <row r="8" spans="1:15" ht="15">
      <c r="A8" s="3"/>
      <c r="B8" s="52" t="s">
        <v>111</v>
      </c>
      <c r="C8" s="53">
        <f>C5</f>
        <v>1085.17</v>
      </c>
      <c r="D8" s="42">
        <v>677.25</v>
      </c>
      <c r="E8" s="54">
        <f t="shared" si="0"/>
        <v>734931.38</v>
      </c>
      <c r="F8" s="55"/>
      <c r="G8" s="42"/>
      <c r="H8" s="54">
        <f t="shared" si="1"/>
        <v>0</v>
      </c>
      <c r="I8" s="56">
        <f t="shared" si="2"/>
        <v>734931.38</v>
      </c>
      <c r="J8" s="3"/>
      <c r="K8" s="3"/>
      <c r="L8" s="3"/>
      <c r="M8" s="3"/>
      <c r="N8" s="3"/>
      <c r="O8" s="3"/>
    </row>
    <row r="9" spans="1:15" ht="15">
      <c r="A9" s="3"/>
      <c r="B9" s="52" t="s">
        <v>112</v>
      </c>
      <c r="C9" s="53">
        <v>0</v>
      </c>
      <c r="D9" s="42">
        <v>677.25</v>
      </c>
      <c r="E9" s="54">
        <f t="shared" si="0"/>
        <v>0</v>
      </c>
      <c r="F9" s="55"/>
      <c r="G9" s="42"/>
      <c r="H9" s="54">
        <f t="shared" si="1"/>
        <v>0</v>
      </c>
      <c r="I9" s="56">
        <f t="shared" si="2"/>
        <v>0</v>
      </c>
      <c r="J9" s="3"/>
      <c r="K9" s="3"/>
      <c r="L9" s="3"/>
      <c r="M9" s="3"/>
      <c r="N9" s="3"/>
      <c r="O9" s="3"/>
    </row>
    <row r="10" spans="1:15" ht="15.75" thickBot="1">
      <c r="A10" s="3"/>
      <c r="B10" s="57" t="s">
        <v>113</v>
      </c>
      <c r="C10" s="53"/>
      <c r="D10" s="59"/>
      <c r="E10" s="60">
        <f t="shared" si="0"/>
        <v>0</v>
      </c>
      <c r="F10" s="61"/>
      <c r="G10" s="59"/>
      <c r="H10" s="60">
        <f t="shared" si="1"/>
        <v>0</v>
      </c>
      <c r="I10" s="62">
        <f t="shared" si="2"/>
        <v>0</v>
      </c>
      <c r="J10" s="3"/>
      <c r="K10" s="3"/>
      <c r="L10" s="3"/>
      <c r="M10" s="3"/>
      <c r="N10" s="3"/>
      <c r="O10" s="63"/>
    </row>
    <row r="11" spans="1:15" ht="15.75" thickBot="1">
      <c r="A11" s="3"/>
      <c r="B11" s="64" t="s">
        <v>95</v>
      </c>
      <c r="C11" s="65"/>
      <c r="D11" s="38"/>
      <c r="E11" s="66">
        <f>SUM(E6:E10)</f>
        <v>2939725.53</v>
      </c>
      <c r="F11" s="67"/>
      <c r="G11" s="38"/>
      <c r="H11" s="66">
        <f>SUM(H6:H10)</f>
        <v>0</v>
      </c>
      <c r="I11" s="68">
        <f>SUM(I6:I10)</f>
        <v>2939725.53</v>
      </c>
      <c r="J11" s="3"/>
      <c r="K11" s="3"/>
      <c r="L11" s="3"/>
      <c r="M11" s="3"/>
      <c r="N11" s="3"/>
      <c r="O11" s="63"/>
    </row>
    <row r="12" spans="1:15" ht="15">
      <c r="A12" s="3"/>
      <c r="B12" s="44" t="s">
        <v>114</v>
      </c>
      <c r="C12" s="45">
        <v>0</v>
      </c>
      <c r="D12" s="46"/>
      <c r="E12" s="47">
        <f>ROUND(C12*D12,2)</f>
        <v>0</v>
      </c>
      <c r="F12" s="48"/>
      <c r="G12" s="46"/>
      <c r="H12" s="47">
        <f>ROUND(F12*G12,2)</f>
        <v>0</v>
      </c>
      <c r="I12" s="49">
        <f>E12+H12</f>
        <v>0</v>
      </c>
      <c r="J12" s="3"/>
      <c r="K12" s="3"/>
      <c r="L12" s="3"/>
      <c r="M12" s="3"/>
      <c r="N12" s="3"/>
      <c r="O12" s="63"/>
    </row>
    <row r="13" spans="1:15" ht="15">
      <c r="A13" s="3"/>
      <c r="B13" s="52" t="s">
        <v>115</v>
      </c>
      <c r="C13" s="53">
        <v>0</v>
      </c>
      <c r="D13" s="42"/>
      <c r="E13" s="54">
        <f>ROUND(C13*D13,2)</f>
        <v>0</v>
      </c>
      <c r="F13" s="55"/>
      <c r="G13" s="42"/>
      <c r="H13" s="54">
        <f>ROUND(F13*G13,2)</f>
        <v>0</v>
      </c>
      <c r="I13" s="56">
        <f>E13+H13</f>
        <v>0</v>
      </c>
      <c r="J13" s="3"/>
      <c r="K13" s="3"/>
      <c r="L13" s="3"/>
      <c r="M13" s="3"/>
      <c r="N13" s="3"/>
      <c r="O13" s="63"/>
    </row>
    <row r="14" spans="1:15" ht="15">
      <c r="A14" s="3"/>
      <c r="B14" s="107" t="s">
        <v>116</v>
      </c>
      <c r="C14" s="53">
        <v>0</v>
      </c>
      <c r="D14" s="42"/>
      <c r="E14" s="54">
        <f>ROUND(C14*D14,2)</f>
        <v>0</v>
      </c>
      <c r="F14" s="55"/>
      <c r="G14" s="42"/>
      <c r="H14" s="54">
        <f>ROUND(F14*G14,2)</f>
        <v>0</v>
      </c>
      <c r="I14" s="56">
        <f>E14+H14</f>
        <v>0</v>
      </c>
      <c r="J14" s="3"/>
      <c r="K14" s="3"/>
      <c r="L14" s="3"/>
      <c r="M14" s="3"/>
      <c r="N14" s="3"/>
      <c r="O14" s="63"/>
    </row>
    <row r="15" spans="1:15" ht="15.75" thickBot="1">
      <c r="A15" s="3"/>
      <c r="B15" s="57" t="s">
        <v>119</v>
      </c>
      <c r="C15" s="58"/>
      <c r="D15" s="59"/>
      <c r="E15" s="60">
        <f>ROUND(C15*D15,2)</f>
        <v>0</v>
      </c>
      <c r="F15" s="61">
        <v>500</v>
      </c>
      <c r="G15" s="59">
        <v>677.25</v>
      </c>
      <c r="H15" s="60">
        <f>ROUND(F15*G15,2)</f>
        <v>338625</v>
      </c>
      <c r="I15" s="62">
        <f>E15+H15</f>
        <v>338625</v>
      </c>
      <c r="J15" s="3"/>
      <c r="K15" s="3"/>
      <c r="L15" s="3"/>
      <c r="M15" s="3"/>
      <c r="N15" s="3"/>
      <c r="O15" s="63"/>
    </row>
    <row r="16" spans="1:15" ht="15.75" thickBot="1">
      <c r="A16" s="3"/>
      <c r="B16" s="69" t="s">
        <v>95</v>
      </c>
      <c r="C16" s="65"/>
      <c r="D16" s="38"/>
      <c r="E16" s="66">
        <f>SUM(E12:E15)</f>
        <v>0</v>
      </c>
      <c r="F16" s="67"/>
      <c r="G16" s="38"/>
      <c r="H16" s="66">
        <f>SUM(H12:H15)</f>
        <v>338625</v>
      </c>
      <c r="I16" s="68">
        <f>SUM(I12:I15)</f>
        <v>338625</v>
      </c>
      <c r="J16" s="3"/>
      <c r="K16" s="3"/>
      <c r="L16" s="3"/>
      <c r="M16" s="3"/>
      <c r="N16" s="3"/>
      <c r="O16" s="63"/>
    </row>
    <row r="17" spans="1:15" ht="15.75" thickBot="1">
      <c r="A17" s="3"/>
      <c r="B17" s="70" t="s">
        <v>37</v>
      </c>
      <c r="C17" s="71">
        <v>0</v>
      </c>
      <c r="D17" s="72"/>
      <c r="E17" s="73">
        <f>ROUND(C17*D17,2)</f>
        <v>0</v>
      </c>
      <c r="F17" s="74"/>
      <c r="G17" s="72"/>
      <c r="H17" s="73">
        <f aca="true" t="shared" si="3" ref="H17:H22">ROUND(F17*G17,2)</f>
        <v>0</v>
      </c>
      <c r="I17" s="75">
        <f aca="true" t="shared" si="4" ref="I17:I22">E17+H17</f>
        <v>0</v>
      </c>
      <c r="J17" s="3"/>
      <c r="K17" s="3"/>
      <c r="L17" s="3"/>
      <c r="M17" s="3"/>
      <c r="N17" s="3"/>
      <c r="O17" s="63"/>
    </row>
    <row r="18" spans="1:15" ht="15.75" thickBot="1">
      <c r="A18" s="3"/>
      <c r="B18" s="76" t="s">
        <v>117</v>
      </c>
      <c r="C18" s="77">
        <v>0</v>
      </c>
      <c r="D18" s="78"/>
      <c r="E18" s="79">
        <f>ROUND(C18*D18,2)</f>
        <v>0</v>
      </c>
      <c r="F18" s="63"/>
      <c r="G18" s="78"/>
      <c r="H18" s="79">
        <f t="shared" si="3"/>
        <v>0</v>
      </c>
      <c r="I18" s="80">
        <f t="shared" si="4"/>
        <v>0</v>
      </c>
      <c r="J18" s="3"/>
      <c r="K18" s="3"/>
      <c r="L18" s="3"/>
      <c r="M18" s="3"/>
      <c r="N18" s="3"/>
      <c r="O18" s="63"/>
    </row>
    <row r="19" spans="1:15" ht="15.75" thickBot="1">
      <c r="A19" s="3"/>
      <c r="B19" s="81" t="s">
        <v>39</v>
      </c>
      <c r="C19" s="71">
        <v>0</v>
      </c>
      <c r="D19" s="72"/>
      <c r="E19" s="73">
        <f>ROUND(C19*D19,2)</f>
        <v>0</v>
      </c>
      <c r="F19" s="74"/>
      <c r="G19" s="72"/>
      <c r="H19" s="73">
        <f t="shared" si="3"/>
        <v>0</v>
      </c>
      <c r="I19" s="75">
        <f t="shared" si="4"/>
        <v>0</v>
      </c>
      <c r="J19" s="3"/>
      <c r="K19" s="3"/>
      <c r="L19" s="3"/>
      <c r="M19" s="3"/>
      <c r="N19" s="3"/>
      <c r="O19" s="63"/>
    </row>
    <row r="20" spans="1:15" ht="15.75" thickBot="1">
      <c r="A20" s="3"/>
      <c r="B20" s="76" t="s">
        <v>118</v>
      </c>
      <c r="C20" s="77">
        <v>0</v>
      </c>
      <c r="D20" s="78"/>
      <c r="E20" s="79">
        <f>ROUND(C20*D20,2)</f>
        <v>0</v>
      </c>
      <c r="F20" s="63"/>
      <c r="G20" s="78"/>
      <c r="H20" s="79">
        <f t="shared" si="3"/>
        <v>0</v>
      </c>
      <c r="I20" s="80">
        <f t="shared" si="4"/>
        <v>0</v>
      </c>
      <c r="J20" s="3"/>
      <c r="K20" s="3"/>
      <c r="L20" s="3"/>
      <c r="M20" s="3"/>
      <c r="N20" s="3"/>
      <c r="O20" s="63"/>
    </row>
    <row r="21" spans="1:15" ht="15.75" thickBot="1">
      <c r="A21" s="3"/>
      <c r="B21" s="81" t="s">
        <v>96</v>
      </c>
      <c r="C21" s="71">
        <v>0</v>
      </c>
      <c r="D21" s="72"/>
      <c r="E21" s="73">
        <f>ROUND(C21*D21,2)</f>
        <v>0</v>
      </c>
      <c r="F21" s="74"/>
      <c r="G21" s="72"/>
      <c r="H21" s="73">
        <f t="shared" si="3"/>
        <v>0</v>
      </c>
      <c r="I21" s="75">
        <f t="shared" si="4"/>
        <v>0</v>
      </c>
      <c r="J21" s="3"/>
      <c r="K21" s="3"/>
      <c r="L21" s="3"/>
      <c r="M21" s="3"/>
      <c r="N21" s="3"/>
      <c r="O21" s="63"/>
    </row>
    <row r="22" spans="1:15" ht="15.75" thickBot="1">
      <c r="A22" s="3"/>
      <c r="B22" s="81" t="s">
        <v>120</v>
      </c>
      <c r="C22" s="109"/>
      <c r="D22" s="72"/>
      <c r="E22" s="110"/>
      <c r="F22" s="109">
        <f>C5</f>
        <v>1085.17</v>
      </c>
      <c r="G22" s="72">
        <v>702.81</v>
      </c>
      <c r="H22" s="73">
        <f t="shared" si="3"/>
        <v>762668.33</v>
      </c>
      <c r="I22" s="75">
        <f t="shared" si="4"/>
        <v>762668.33</v>
      </c>
      <c r="J22" s="3"/>
      <c r="K22" s="3"/>
      <c r="L22" s="3"/>
      <c r="M22" s="3"/>
      <c r="N22" s="3"/>
      <c r="O22" s="63"/>
    </row>
    <row r="23" spans="1:15" ht="16.5" thickBot="1" thickTop="1">
      <c r="A23" s="82">
        <v>1</v>
      </c>
      <c r="B23" s="108" t="s">
        <v>97</v>
      </c>
      <c r="C23" s="111"/>
      <c r="D23" s="112"/>
      <c r="E23" s="84">
        <f>E5+E11+E16+SUM(E17:E22)</f>
        <v>5713029.39</v>
      </c>
      <c r="F23" s="111"/>
      <c r="G23" s="112"/>
      <c r="H23" s="84">
        <f>H5+H11+H16+SUM(H17:H22)</f>
        <v>1101293.33</v>
      </c>
      <c r="I23" s="85">
        <f>I5+I11+I16+SUM(I17:I22)</f>
        <v>6814322.72</v>
      </c>
      <c r="J23" s="3"/>
      <c r="K23" s="3"/>
      <c r="L23" s="3"/>
      <c r="M23" s="3"/>
      <c r="N23" s="3"/>
      <c r="O23" s="3"/>
    </row>
    <row r="24" spans="1:15" ht="16.5" thickBot="1" thickTop="1">
      <c r="A24" s="3"/>
      <c r="B24" s="86" t="s">
        <v>98</v>
      </c>
      <c r="C24" s="87"/>
      <c r="D24" s="87"/>
      <c r="E24" s="87"/>
      <c r="F24" s="87"/>
      <c r="G24" s="87"/>
      <c r="H24" s="87"/>
      <c r="I24" s="87"/>
      <c r="J24" s="88" t="s">
        <v>99</v>
      </c>
      <c r="K24" s="88" t="s">
        <v>100</v>
      </c>
      <c r="L24" s="88" t="s">
        <v>101</v>
      </c>
      <c r="M24" s="89" t="s">
        <v>102</v>
      </c>
      <c r="N24" s="89" t="s">
        <v>103</v>
      </c>
      <c r="O24" s="3"/>
    </row>
    <row r="25" spans="1:15" ht="15.75" thickTop="1">
      <c r="A25" s="3"/>
      <c r="B25" s="90"/>
      <c r="C25" s="414"/>
      <c r="D25" s="415"/>
      <c r="E25" s="91"/>
      <c r="F25" s="90"/>
      <c r="G25" s="92"/>
      <c r="H25" s="91"/>
      <c r="I25" s="93"/>
      <c r="J25" s="63"/>
      <c r="K25" s="63"/>
      <c r="L25" s="63"/>
      <c r="M25" s="63"/>
      <c r="N25" s="63"/>
      <c r="O25" s="3"/>
    </row>
    <row r="26" spans="1:15" ht="15">
      <c r="A26" s="3"/>
      <c r="B26" s="52" t="s">
        <v>104</v>
      </c>
      <c r="C26" s="404" t="s">
        <v>183</v>
      </c>
      <c r="D26" s="405"/>
      <c r="E26" s="43">
        <f>anoPlantio!F12</f>
        <v>386706.44</v>
      </c>
      <c r="F26" s="52"/>
      <c r="G26" s="95"/>
      <c r="H26" s="43">
        <f>anoPlantio!H12</f>
        <v>433117.62000000005</v>
      </c>
      <c r="I26" s="56">
        <f aca="true" t="shared" si="5" ref="I26:I33">E26+H26</f>
        <v>819824.06</v>
      </c>
      <c r="J26" s="63">
        <v>34.34</v>
      </c>
      <c r="K26" s="63">
        <v>1355.93</v>
      </c>
      <c r="L26" s="63">
        <f>ROUND(J26*K26,2)</f>
        <v>46562.64</v>
      </c>
      <c r="M26" s="63">
        <v>22</v>
      </c>
      <c r="N26" s="63">
        <f>ROUND(L26*M26,2)</f>
        <v>1024378.08</v>
      </c>
      <c r="O26" s="3"/>
    </row>
    <row r="27" spans="1:15" ht="15">
      <c r="A27" s="3"/>
      <c r="B27" s="52" t="s">
        <v>105</v>
      </c>
      <c r="C27" s="404" t="s">
        <v>184</v>
      </c>
      <c r="D27" s="405"/>
      <c r="E27" s="43">
        <f>anoPlantio!F27</f>
        <v>231415.88000000003</v>
      </c>
      <c r="F27" s="52"/>
      <c r="G27" s="95"/>
      <c r="H27" s="43">
        <f>anoPlantio!H27</f>
        <v>259189.62000000002</v>
      </c>
      <c r="I27" s="56">
        <f t="shared" si="5"/>
        <v>490605.50000000006</v>
      </c>
      <c r="J27" s="63">
        <v>20.55</v>
      </c>
      <c r="K27" s="63">
        <v>1355.93</v>
      </c>
      <c r="L27" s="63">
        <f>ROUND(J27*K27,2)</f>
        <v>27864.36</v>
      </c>
      <c r="M27" s="63">
        <v>22</v>
      </c>
      <c r="N27" s="63">
        <f>ROUND(L27*M27,2)</f>
        <v>613015.92</v>
      </c>
      <c r="O27" s="3"/>
    </row>
    <row r="28" spans="1:15" ht="15">
      <c r="A28" s="3"/>
      <c r="B28" s="193" t="s">
        <v>191</v>
      </c>
      <c r="C28" s="404" t="s">
        <v>192</v>
      </c>
      <c r="D28" s="405"/>
      <c r="E28" s="43">
        <f>'[1]ResumoPorMan'!AN520</f>
        <v>0</v>
      </c>
      <c r="F28" s="52"/>
      <c r="G28" s="95"/>
      <c r="H28" s="43">
        <f>L28</f>
        <v>93000</v>
      </c>
      <c r="I28" s="56">
        <f t="shared" si="5"/>
        <v>93000</v>
      </c>
      <c r="J28" s="3">
        <v>1</v>
      </c>
      <c r="K28" s="63">
        <v>93000</v>
      </c>
      <c r="L28" s="63">
        <f>ROUND(K28*J28,2)</f>
        <v>93000</v>
      </c>
      <c r="M28" s="63"/>
      <c r="N28" s="63"/>
      <c r="O28" s="3"/>
    </row>
    <row r="29" spans="1:15" ht="15">
      <c r="A29" s="3"/>
      <c r="B29" s="52" t="s">
        <v>189</v>
      </c>
      <c r="C29" s="94" t="s">
        <v>193</v>
      </c>
      <c r="D29" s="96"/>
      <c r="E29" s="43"/>
      <c r="F29" s="52"/>
      <c r="G29" s="95"/>
      <c r="H29" s="43">
        <f>L29</f>
        <v>79000</v>
      </c>
      <c r="I29" s="56">
        <f t="shared" si="5"/>
        <v>79000</v>
      </c>
      <c r="J29" s="177">
        <v>1</v>
      </c>
      <c r="K29" s="63">
        <v>79000</v>
      </c>
      <c r="L29" s="63">
        <f>ROUND(K29*J29,2)</f>
        <v>79000</v>
      </c>
      <c r="M29" s="63"/>
      <c r="N29" s="63"/>
      <c r="O29" s="3"/>
    </row>
    <row r="30" spans="1:15" ht="15">
      <c r="A30" s="3"/>
      <c r="B30" s="52" t="s">
        <v>190</v>
      </c>
      <c r="C30" s="94" t="s">
        <v>194</v>
      </c>
      <c r="D30" s="96"/>
      <c r="E30" s="43">
        <v>0</v>
      </c>
      <c r="F30" s="52"/>
      <c r="G30" s="95"/>
      <c r="H30" s="43">
        <f>L30</f>
        <v>42800</v>
      </c>
      <c r="I30" s="56">
        <f t="shared" si="5"/>
        <v>42800</v>
      </c>
      <c r="J30" s="63">
        <v>4</v>
      </c>
      <c r="K30" s="63">
        <v>10700</v>
      </c>
      <c r="L30" s="63">
        <f>ROUND(K30*J30,2)</f>
        <v>42800</v>
      </c>
      <c r="M30" s="63"/>
      <c r="N30" s="63"/>
      <c r="O30" s="3"/>
    </row>
    <row r="31" spans="1:15" ht="15">
      <c r="A31" s="3"/>
      <c r="B31" s="52"/>
      <c r="C31" s="97"/>
      <c r="D31" s="96"/>
      <c r="E31" s="43">
        <v>0</v>
      </c>
      <c r="F31" s="52"/>
      <c r="G31" s="95"/>
      <c r="H31" s="43">
        <v>0</v>
      </c>
      <c r="I31" s="56">
        <f t="shared" si="5"/>
        <v>0</v>
      </c>
      <c r="J31" s="63"/>
      <c r="K31" s="63"/>
      <c r="L31" s="63"/>
      <c r="M31" s="63"/>
      <c r="N31" s="63"/>
      <c r="O31" s="3"/>
    </row>
    <row r="32" spans="1:15" ht="15">
      <c r="A32" s="3"/>
      <c r="B32" s="276" t="s">
        <v>362</v>
      </c>
      <c r="C32" s="94"/>
      <c r="D32" s="96"/>
      <c r="E32" s="43">
        <v>0</v>
      </c>
      <c r="F32" s="52"/>
      <c r="G32" s="95"/>
      <c r="H32" s="43">
        <v>13680</v>
      </c>
      <c r="I32" s="56">
        <f t="shared" si="5"/>
        <v>13680</v>
      </c>
      <c r="J32" s="63"/>
      <c r="K32" s="63"/>
      <c r="L32" s="63"/>
      <c r="M32" s="63"/>
      <c r="N32" s="63"/>
      <c r="O32" s="3"/>
    </row>
    <row r="33" spans="1:15" ht="15.75" thickBot="1">
      <c r="A33" s="3"/>
      <c r="B33" s="98" t="s">
        <v>363</v>
      </c>
      <c r="C33" s="406" t="s">
        <v>329</v>
      </c>
      <c r="D33" s="407"/>
      <c r="E33" s="51">
        <f>anoPlantio!I40</f>
        <v>985746.74</v>
      </c>
      <c r="F33" s="98"/>
      <c r="G33" s="99"/>
      <c r="H33" s="51"/>
      <c r="I33" s="100">
        <f t="shared" si="5"/>
        <v>985746.74</v>
      </c>
      <c r="J33" s="63"/>
      <c r="K33" s="63"/>
      <c r="L33" s="63"/>
      <c r="M33" s="63"/>
      <c r="N33" s="63"/>
      <c r="O33" s="3"/>
    </row>
    <row r="34" spans="1:15" ht="16.5" thickBot="1" thickTop="1">
      <c r="A34" s="82">
        <v>2</v>
      </c>
      <c r="B34" s="83" t="s">
        <v>106</v>
      </c>
      <c r="C34" s="83"/>
      <c r="D34" s="101"/>
      <c r="E34" s="102">
        <f>SUM(E25:E33)</f>
        <v>1603869.06</v>
      </c>
      <c r="F34" s="101"/>
      <c r="G34" s="101"/>
      <c r="H34" s="102">
        <f>SUM(H25:H33)</f>
        <v>920787.2400000001</v>
      </c>
      <c r="I34" s="103">
        <f>SUM(I25:I33)</f>
        <v>2524656.3</v>
      </c>
      <c r="J34" s="63"/>
      <c r="K34" s="63"/>
      <c r="L34" s="63"/>
      <c r="M34" s="63"/>
      <c r="N34" s="63"/>
      <c r="O34" s="3"/>
    </row>
    <row r="35" spans="1:15" ht="16.5" thickBot="1" thickTop="1">
      <c r="A35" s="3"/>
      <c r="B35" s="3"/>
      <c r="C35" s="3"/>
      <c r="D35" s="3"/>
      <c r="E35" s="104"/>
      <c r="F35" s="3"/>
      <c r="G35" s="3"/>
      <c r="H35" s="105"/>
      <c r="I35" s="3"/>
      <c r="J35" s="3"/>
      <c r="K35" s="63"/>
      <c r="L35" s="63"/>
      <c r="M35" s="3"/>
      <c r="N35" s="3"/>
      <c r="O35" s="3"/>
    </row>
    <row r="36" spans="1:15" ht="16.5" thickBot="1" thickTop="1">
      <c r="A36" s="82">
        <v>3</v>
      </c>
      <c r="B36" s="360" t="s">
        <v>107</v>
      </c>
      <c r="C36" s="360"/>
      <c r="D36" s="361"/>
      <c r="E36" s="362">
        <f>E23+E34</f>
        <v>7316898.449999999</v>
      </c>
      <c r="F36" s="361"/>
      <c r="G36" s="361"/>
      <c r="H36" s="362">
        <f>H23+H34</f>
        <v>2022080.5700000003</v>
      </c>
      <c r="I36" s="363">
        <f>I23+I34</f>
        <v>9338979.02</v>
      </c>
      <c r="J36" s="3"/>
      <c r="K36" s="63"/>
      <c r="L36" s="63"/>
      <c r="M36" s="3"/>
      <c r="N36" s="3"/>
      <c r="O36" s="3"/>
    </row>
    <row r="37" spans="1:15" ht="16.5" thickBot="1" thickTop="1">
      <c r="A37" s="3"/>
      <c r="B37" s="83" t="s">
        <v>313</v>
      </c>
      <c r="C37" s="83"/>
      <c r="D37" s="101"/>
      <c r="E37" s="102">
        <f>ROUND(E36/I36%,2)</f>
        <v>78.35</v>
      </c>
      <c r="F37" s="101"/>
      <c r="G37" s="101"/>
      <c r="H37" s="102">
        <f>ROUND(H36/I36%,2)</f>
        <v>21.65</v>
      </c>
      <c r="I37" s="106">
        <f>E37+H37</f>
        <v>100</v>
      </c>
      <c r="J37" s="3"/>
      <c r="K37" s="63"/>
      <c r="L37" s="3"/>
      <c r="M37" s="3"/>
      <c r="N37" s="3"/>
      <c r="O37" s="3"/>
    </row>
    <row r="38" spans="1:9" ht="16.5" thickBot="1" thickTop="1">
      <c r="A38" s="82">
        <v>4</v>
      </c>
      <c r="B38" s="86" t="s">
        <v>311</v>
      </c>
      <c r="C38" s="270"/>
      <c r="D38" s="232"/>
      <c r="E38" s="102">
        <f>J42*-1</f>
        <v>-2647408.9399999995</v>
      </c>
      <c r="F38" s="146"/>
      <c r="G38" s="146"/>
      <c r="H38" s="102">
        <f>J42</f>
        <v>2647408.9399999995</v>
      </c>
      <c r="I38" s="147">
        <f>E38+H38</f>
        <v>0</v>
      </c>
    </row>
    <row r="39" spans="1:11" ht="16.5" thickBot="1" thickTop="1">
      <c r="A39" s="82">
        <v>5</v>
      </c>
      <c r="B39" s="86" t="s">
        <v>312</v>
      </c>
      <c r="C39" s="270"/>
      <c r="D39" s="232"/>
      <c r="E39" s="102">
        <f>E36+E38</f>
        <v>4669489.51</v>
      </c>
      <c r="F39" s="146"/>
      <c r="G39" s="146"/>
      <c r="H39" s="102">
        <f>H36+H38</f>
        <v>4669489.51</v>
      </c>
      <c r="I39" s="147">
        <f>I36+I38</f>
        <v>9338979.02</v>
      </c>
      <c r="K39" s="364" t="s">
        <v>365</v>
      </c>
    </row>
    <row r="40" spans="2:15" ht="16.5" thickBot="1" thickTop="1">
      <c r="B40" s="86" t="s">
        <v>314</v>
      </c>
      <c r="C40" s="270"/>
      <c r="D40" s="146"/>
      <c r="E40" s="102">
        <f>ROUND(E39/I39%,2)</f>
        <v>50</v>
      </c>
      <c r="F40" s="146"/>
      <c r="G40" s="146"/>
      <c r="H40" s="102">
        <f>ROUND(H39/I39%,2)</f>
        <v>50</v>
      </c>
      <c r="I40" s="147">
        <f>E40+H40</f>
        <v>100</v>
      </c>
      <c r="J40" s="120">
        <f>ROUND(I36*K40%,2)</f>
        <v>4669489.51</v>
      </c>
      <c r="K40" s="14">
        <v>50</v>
      </c>
      <c r="L40" s="14" t="s">
        <v>366</v>
      </c>
      <c r="M40" s="14"/>
      <c r="N40" s="14"/>
      <c r="O40" s="145"/>
    </row>
    <row r="41" spans="4:15" ht="15.75" thickTop="1">
      <c r="D41" s="115"/>
      <c r="E41" s="115"/>
      <c r="F41" s="115"/>
      <c r="G41" s="115"/>
      <c r="H41" s="115"/>
      <c r="I41" s="115"/>
      <c r="J41" s="123">
        <f>H36</f>
        <v>2022080.5700000003</v>
      </c>
      <c r="K41" s="18"/>
      <c r="L41" s="18" t="s">
        <v>367</v>
      </c>
      <c r="M41" s="18"/>
      <c r="N41" s="18"/>
      <c r="O41" s="124"/>
    </row>
    <row r="42" spans="4:15" ht="15.75" thickBot="1">
      <c r="D42" s="115"/>
      <c r="E42" s="115"/>
      <c r="F42" s="115"/>
      <c r="G42" s="115"/>
      <c r="H42" s="115"/>
      <c r="J42" s="133">
        <f>J40-J41</f>
        <v>2647408.9399999995</v>
      </c>
      <c r="K42" s="24"/>
      <c r="L42" s="24" t="s">
        <v>368</v>
      </c>
      <c r="M42" s="24"/>
      <c r="N42" s="24"/>
      <c r="O42" s="126"/>
    </row>
    <row r="43" spans="4:8" ht="16.5" thickBot="1" thickTop="1">
      <c r="D43" s="115"/>
      <c r="E43" s="115"/>
      <c r="F43" s="115"/>
      <c r="G43" s="115"/>
      <c r="H43" s="115"/>
    </row>
    <row r="44" spans="1:8" ht="15.75" thickTop="1">
      <c r="A44" s="3"/>
      <c r="B44" s="3"/>
      <c r="C44" s="408" t="s">
        <v>196</v>
      </c>
      <c r="D44" s="409"/>
      <c r="E44" s="410"/>
      <c r="H44" s="115"/>
    </row>
    <row r="45" spans="1:5" ht="15.75" thickBot="1">
      <c r="A45" s="3"/>
      <c r="B45" s="3"/>
      <c r="C45" s="411" t="s">
        <v>83</v>
      </c>
      <c r="D45" s="412"/>
      <c r="E45" s="413"/>
    </row>
    <row r="46" spans="1:5" ht="16.5" thickBot="1" thickTop="1">
      <c r="A46" s="3"/>
      <c r="B46" s="28"/>
      <c r="C46" s="29" t="s">
        <v>90</v>
      </c>
      <c r="D46" s="30" t="s">
        <v>91</v>
      </c>
      <c r="E46" s="31" t="s">
        <v>92</v>
      </c>
    </row>
    <row r="47" spans="1:5" ht="15.75" thickBot="1">
      <c r="A47" s="3"/>
      <c r="B47" s="36" t="s">
        <v>93</v>
      </c>
      <c r="C47" s="37">
        <f aca="true" t="shared" si="6" ref="C47:D51">C5</f>
        <v>1085.17</v>
      </c>
      <c r="D47" s="38">
        <f t="shared" si="6"/>
        <v>2555.64</v>
      </c>
      <c r="E47" s="39">
        <f aca="true" t="shared" si="7" ref="E47:E52">ROUND(C47*D47,2)</f>
        <v>2773303.86</v>
      </c>
    </row>
    <row r="48" spans="1:5" ht="15">
      <c r="A48" s="3"/>
      <c r="B48" s="44" t="s">
        <v>109</v>
      </c>
      <c r="C48" s="45">
        <f t="shared" si="6"/>
        <v>2170.34</v>
      </c>
      <c r="D48" s="46">
        <f t="shared" si="6"/>
        <v>677.25</v>
      </c>
      <c r="E48" s="47">
        <f t="shared" si="7"/>
        <v>1469862.77</v>
      </c>
    </row>
    <row r="49" spans="1:5" ht="15">
      <c r="A49" s="3"/>
      <c r="B49" s="52" t="s">
        <v>110</v>
      </c>
      <c r="C49" s="53">
        <f t="shared" si="6"/>
        <v>1085.17</v>
      </c>
      <c r="D49" s="42">
        <f t="shared" si="6"/>
        <v>677.25</v>
      </c>
      <c r="E49" s="54">
        <f t="shared" si="7"/>
        <v>734931.38</v>
      </c>
    </row>
    <row r="50" spans="1:5" ht="15">
      <c r="A50" s="3"/>
      <c r="B50" s="52" t="s">
        <v>111</v>
      </c>
      <c r="C50" s="53">
        <f t="shared" si="6"/>
        <v>1085.17</v>
      </c>
      <c r="D50" s="42">
        <f t="shared" si="6"/>
        <v>677.25</v>
      </c>
      <c r="E50" s="54">
        <f t="shared" si="7"/>
        <v>734931.38</v>
      </c>
    </row>
    <row r="51" spans="1:5" ht="15">
      <c r="A51" s="3"/>
      <c r="B51" s="52" t="s">
        <v>112</v>
      </c>
      <c r="C51" s="53">
        <f t="shared" si="6"/>
        <v>0</v>
      </c>
      <c r="D51" s="42">
        <f t="shared" si="6"/>
        <v>677.25</v>
      </c>
      <c r="E51" s="54">
        <f t="shared" si="7"/>
        <v>0</v>
      </c>
    </row>
    <row r="52" spans="1:5" ht="15.75" thickBot="1">
      <c r="A52" s="3"/>
      <c r="B52" s="57" t="s">
        <v>113</v>
      </c>
      <c r="C52" s="53"/>
      <c r="D52" s="42">
        <f>D10</f>
        <v>0</v>
      </c>
      <c r="E52" s="60">
        <f t="shared" si="7"/>
        <v>0</v>
      </c>
    </row>
    <row r="53" spans="1:5" ht="15.75" thickBot="1">
      <c r="A53" s="3"/>
      <c r="B53" s="64" t="s">
        <v>95</v>
      </c>
      <c r="C53" s="65"/>
      <c r="D53" s="38"/>
      <c r="E53" s="66">
        <f>SUM(E48:E52)</f>
        <v>2939725.53</v>
      </c>
    </row>
    <row r="54" spans="1:5" ht="15">
      <c r="A54" s="3"/>
      <c r="B54" s="44" t="s">
        <v>114</v>
      </c>
      <c r="C54" s="45">
        <f aca="true" t="shared" si="8" ref="C54:D56">C12</f>
        <v>0</v>
      </c>
      <c r="D54" s="46">
        <f t="shared" si="8"/>
        <v>0</v>
      </c>
      <c r="E54" s="47">
        <f>ROUND(C54*D54,2)</f>
        <v>0</v>
      </c>
    </row>
    <row r="55" spans="1:5" ht="15">
      <c r="A55" s="3"/>
      <c r="B55" s="52" t="s">
        <v>115</v>
      </c>
      <c r="C55" s="53">
        <f t="shared" si="8"/>
        <v>0</v>
      </c>
      <c r="D55" s="42">
        <f t="shared" si="8"/>
        <v>0</v>
      </c>
      <c r="E55" s="54">
        <f>ROUND(C55*D55,2)</f>
        <v>0</v>
      </c>
    </row>
    <row r="56" spans="1:5" ht="15">
      <c r="A56" s="3"/>
      <c r="B56" s="107" t="s">
        <v>116</v>
      </c>
      <c r="C56" s="53">
        <f t="shared" si="8"/>
        <v>0</v>
      </c>
      <c r="D56" s="42">
        <f t="shared" si="8"/>
        <v>0</v>
      </c>
      <c r="E56" s="54">
        <f>ROUND(C56*D56,2)</f>
        <v>0</v>
      </c>
    </row>
    <row r="57" spans="1:5" ht="15.75" thickBot="1">
      <c r="A57" s="3"/>
      <c r="B57" s="57" t="s">
        <v>119</v>
      </c>
      <c r="C57" s="58"/>
      <c r="D57" s="59">
        <f>D15</f>
        <v>0</v>
      </c>
      <c r="E57" s="60">
        <f>ROUND(C57*D57,2)</f>
        <v>0</v>
      </c>
    </row>
    <row r="58" spans="1:5" ht="15.75" thickBot="1">
      <c r="A58" s="3"/>
      <c r="B58" s="69" t="s">
        <v>95</v>
      </c>
      <c r="C58" s="65"/>
      <c r="D58" s="38"/>
      <c r="E58" s="66">
        <f>SUM(E54:E57)</f>
        <v>0</v>
      </c>
    </row>
    <row r="59" spans="1:5" ht="15.75" thickBot="1">
      <c r="A59" s="3"/>
      <c r="B59" s="70" t="s">
        <v>37</v>
      </c>
      <c r="C59" s="71">
        <f aca="true" t="shared" si="9" ref="C59:C64">C17</f>
        <v>0</v>
      </c>
      <c r="D59" s="72"/>
      <c r="E59" s="73">
        <f aca="true" t="shared" si="10" ref="E59:E64">ROUND(C59*D59,2)</f>
        <v>0</v>
      </c>
    </row>
    <row r="60" spans="1:5" ht="15.75" thickBot="1">
      <c r="A60" s="3"/>
      <c r="B60" s="76" t="s">
        <v>117</v>
      </c>
      <c r="C60" s="196">
        <f t="shared" si="9"/>
        <v>0</v>
      </c>
      <c r="D60" s="78"/>
      <c r="E60" s="79">
        <f t="shared" si="10"/>
        <v>0</v>
      </c>
    </row>
    <row r="61" spans="1:5" ht="15.75" thickBot="1">
      <c r="A61" s="3"/>
      <c r="B61" s="81" t="s">
        <v>39</v>
      </c>
      <c r="C61" s="71">
        <f t="shared" si="9"/>
        <v>0</v>
      </c>
      <c r="D61" s="72"/>
      <c r="E61" s="73">
        <f t="shared" si="10"/>
        <v>0</v>
      </c>
    </row>
    <row r="62" spans="1:5" ht="15.75" thickBot="1">
      <c r="A62" s="3"/>
      <c r="B62" s="76" t="s">
        <v>118</v>
      </c>
      <c r="C62" s="196">
        <f t="shared" si="9"/>
        <v>0</v>
      </c>
      <c r="D62" s="78"/>
      <c r="E62" s="79">
        <f t="shared" si="10"/>
        <v>0</v>
      </c>
    </row>
    <row r="63" spans="1:5" ht="15.75" thickBot="1">
      <c r="A63" s="3"/>
      <c r="B63" s="81" t="s">
        <v>96</v>
      </c>
      <c r="C63" s="71">
        <f t="shared" si="9"/>
        <v>0</v>
      </c>
      <c r="D63" s="72"/>
      <c r="E63" s="73">
        <f t="shared" si="10"/>
        <v>0</v>
      </c>
    </row>
    <row r="64" spans="1:5" ht="15.75" thickBot="1">
      <c r="A64" s="3"/>
      <c r="B64" s="81" t="s">
        <v>120</v>
      </c>
      <c r="C64" s="109">
        <f t="shared" si="9"/>
        <v>0</v>
      </c>
      <c r="D64" s="72"/>
      <c r="E64" s="110">
        <f t="shared" si="10"/>
        <v>0</v>
      </c>
    </row>
    <row r="65" spans="1:5" ht="16.5" thickBot="1" thickTop="1">
      <c r="A65" s="82">
        <v>1</v>
      </c>
      <c r="B65" s="108" t="s">
        <v>97</v>
      </c>
      <c r="C65" s="111"/>
      <c r="D65" s="112"/>
      <c r="E65" s="84">
        <f>E47+E53+E58+SUM(E59:E64)</f>
        <v>5713029.39</v>
      </c>
    </row>
    <row r="66" spans="1:5" ht="16.5" thickBot="1" thickTop="1">
      <c r="A66" s="3"/>
      <c r="B66" s="86" t="s">
        <v>98</v>
      </c>
      <c r="C66" s="87"/>
      <c r="D66" s="87"/>
      <c r="E66" s="87"/>
    </row>
    <row r="67" spans="1:5" ht="15.75" thickTop="1">
      <c r="A67" s="3"/>
      <c r="B67" s="90">
        <f>B25</f>
        <v>0</v>
      </c>
      <c r="C67" s="414">
        <f>C25</f>
        <v>0</v>
      </c>
      <c r="D67" s="415"/>
      <c r="E67" s="91">
        <f aca="true" t="shared" si="11" ref="E67:E75">E25</f>
        <v>0</v>
      </c>
    </row>
    <row r="68" spans="1:5" ht="15">
      <c r="A68" s="3"/>
      <c r="B68" s="52" t="str">
        <f>B26</f>
        <v>Manutenção Estradas ha./ano</v>
      </c>
      <c r="C68" s="404" t="str">
        <f>C26</f>
        <v>R$34,34/ha/ano - 22 anos</v>
      </c>
      <c r="D68" s="405"/>
      <c r="E68" s="43">
        <f t="shared" si="11"/>
        <v>386706.44</v>
      </c>
    </row>
    <row r="69" spans="1:5" ht="15">
      <c r="A69" s="3"/>
      <c r="B69" s="52" t="str">
        <f aca="true" t="shared" si="12" ref="B69:C75">B27</f>
        <v>Prevenção Incêndios ha./ano</v>
      </c>
      <c r="C69" s="404" t="str">
        <f t="shared" si="12"/>
        <v>R$20,55ha/ano - 22 anos</v>
      </c>
      <c r="D69" s="405"/>
      <c r="E69" s="43">
        <f t="shared" si="11"/>
        <v>231415.88000000003</v>
      </c>
    </row>
    <row r="70" spans="1:5" ht="15">
      <c r="A70" s="3"/>
      <c r="B70" s="52" t="str">
        <f t="shared" si="12"/>
        <v>1 Caminhoneta cabine simples4x4diesel</v>
      </c>
      <c r="C70" s="404" t="str">
        <f t="shared" si="12"/>
        <v>R$ 93.000,00 unitário - aquis.2016</v>
      </c>
      <c r="D70" s="405"/>
      <c r="E70" s="43">
        <f t="shared" si="11"/>
        <v>0</v>
      </c>
    </row>
    <row r="71" spans="1:5" ht="15">
      <c r="A71" s="3"/>
      <c r="B71" s="52" t="str">
        <f t="shared" si="12"/>
        <v>1 SUV 4x4 diesel</v>
      </c>
      <c r="C71" s="404" t="str">
        <f t="shared" si="12"/>
        <v>R$ 79.000,00 unitário = aquis 2016</v>
      </c>
      <c r="D71" s="405"/>
      <c r="E71" s="43">
        <f t="shared" si="11"/>
        <v>0</v>
      </c>
    </row>
    <row r="72" spans="1:5" ht="15">
      <c r="A72" s="3"/>
      <c r="B72" s="52" t="str">
        <f t="shared" si="12"/>
        <v>4 motos trail com mín 160cc</v>
      </c>
      <c r="C72" s="404" t="str">
        <f t="shared" si="12"/>
        <v>R$ 10.700,00 unitário - aquis.2016</v>
      </c>
      <c r="D72" s="405"/>
      <c r="E72" s="43">
        <f t="shared" si="11"/>
        <v>0</v>
      </c>
    </row>
    <row r="73" spans="1:5" ht="15">
      <c r="A73" s="3"/>
      <c r="B73" s="52">
        <f t="shared" si="12"/>
        <v>0</v>
      </c>
      <c r="C73" s="404">
        <f t="shared" si="12"/>
        <v>0</v>
      </c>
      <c r="D73" s="405"/>
      <c r="E73" s="43">
        <f t="shared" si="11"/>
        <v>0</v>
      </c>
    </row>
    <row r="74" spans="1:5" ht="15">
      <c r="A74" s="3"/>
      <c r="B74" s="52" t="str">
        <f t="shared" si="12"/>
        <v>Man.veícs (3anos)</v>
      </c>
      <c r="C74" s="404">
        <f t="shared" si="12"/>
        <v>0</v>
      </c>
      <c r="D74" s="405"/>
      <c r="E74" s="43">
        <f t="shared" si="11"/>
        <v>0</v>
      </c>
    </row>
    <row r="75" spans="1:5" ht="15.75" thickBot="1">
      <c r="A75" s="3"/>
      <c r="B75" s="52" t="str">
        <f t="shared" si="12"/>
        <v>Administração IFPR realizado/a realizar </v>
      </c>
      <c r="C75" s="404" t="str">
        <f t="shared" si="12"/>
        <v>R$41,29/há/ano</v>
      </c>
      <c r="D75" s="405"/>
      <c r="E75" s="51">
        <f t="shared" si="11"/>
        <v>985746.74</v>
      </c>
    </row>
    <row r="76" spans="1:5" ht="16.5" thickBot="1" thickTop="1">
      <c r="A76" s="82">
        <v>2</v>
      </c>
      <c r="B76" s="83" t="s">
        <v>106</v>
      </c>
      <c r="C76" s="83"/>
      <c r="D76" s="101"/>
      <c r="E76" s="102">
        <f>SUM(E67:E75)</f>
        <v>1603869.06</v>
      </c>
    </row>
    <row r="77" spans="1:5" ht="16.5" thickBot="1" thickTop="1">
      <c r="A77" s="3"/>
      <c r="B77" s="3"/>
      <c r="C77" s="3"/>
      <c r="D77" s="3"/>
      <c r="E77" s="104"/>
    </row>
    <row r="78" spans="1:5" ht="16.5" thickBot="1" thickTop="1">
      <c r="A78" s="82">
        <v>3</v>
      </c>
      <c r="B78" s="83" t="s">
        <v>107</v>
      </c>
      <c r="C78" s="83"/>
      <c r="D78" s="101"/>
      <c r="E78" s="102">
        <f>E65+E76</f>
        <v>7316898.449999999</v>
      </c>
    </row>
    <row r="79" spans="1:5" ht="16.5" thickBot="1" thickTop="1">
      <c r="A79" s="3"/>
      <c r="B79" s="83" t="s">
        <v>108</v>
      </c>
      <c r="C79" s="83"/>
      <c r="D79" s="101"/>
      <c r="E79" s="102">
        <f>E37</f>
        <v>78.35</v>
      </c>
    </row>
    <row r="80" spans="1:5" ht="16.5" thickBot="1" thickTop="1">
      <c r="A80" s="82">
        <v>4</v>
      </c>
      <c r="B80" s="86" t="s">
        <v>311</v>
      </c>
      <c r="C80" s="270"/>
      <c r="D80" s="232"/>
      <c r="E80" s="102">
        <f>E38</f>
        <v>-2647408.9399999995</v>
      </c>
    </row>
    <row r="81" spans="1:5" ht="16.5" thickBot="1" thickTop="1">
      <c r="A81" s="82">
        <v>5</v>
      </c>
      <c r="B81" s="86" t="s">
        <v>312</v>
      </c>
      <c r="C81" s="270"/>
      <c r="D81" s="232"/>
      <c r="E81" s="102">
        <f>E39</f>
        <v>4669489.51</v>
      </c>
    </row>
    <row r="82" spans="2:5" ht="16.5" thickBot="1" thickTop="1">
      <c r="B82" s="86" t="s">
        <v>314</v>
      </c>
      <c r="C82" s="270"/>
      <c r="D82" s="146"/>
      <c r="E82" s="102">
        <f>E40</f>
        <v>50</v>
      </c>
    </row>
    <row r="83" ht="15.75" thickTop="1"/>
    <row r="84" ht="15.75" thickBot="1"/>
    <row r="85" spans="1:5" ht="15.75" thickTop="1">
      <c r="A85" s="3"/>
      <c r="B85" s="3"/>
      <c r="C85" s="408" t="s">
        <v>80</v>
      </c>
      <c r="D85" s="409"/>
      <c r="E85" s="410"/>
    </row>
    <row r="86" spans="1:5" ht="15.75" thickBot="1">
      <c r="A86" s="3"/>
      <c r="B86" s="3"/>
      <c r="C86" s="411" t="s">
        <v>84</v>
      </c>
      <c r="D86" s="412"/>
      <c r="E86" s="413"/>
    </row>
    <row r="87" spans="1:6" ht="16.5" thickBot="1" thickTop="1">
      <c r="A87" s="3"/>
      <c r="B87" s="28"/>
      <c r="C87" s="29" t="s">
        <v>90</v>
      </c>
      <c r="D87" s="30" t="s">
        <v>91</v>
      </c>
      <c r="E87" s="31" t="s">
        <v>92</v>
      </c>
      <c r="F87" s="195" t="s">
        <v>197</v>
      </c>
    </row>
    <row r="88" spans="1:6" ht="15.75" thickBot="1">
      <c r="A88" s="3"/>
      <c r="B88" s="36" t="s">
        <v>93</v>
      </c>
      <c r="C88" s="37">
        <f aca="true" t="shared" si="13" ref="C88:D93">F5</f>
        <v>0</v>
      </c>
      <c r="D88" s="38">
        <f t="shared" si="13"/>
        <v>0</v>
      </c>
      <c r="E88" s="39">
        <f aca="true" t="shared" si="14" ref="E88:E93">ROUND(C88*D88,2)</f>
        <v>0</v>
      </c>
      <c r="F88" s="115">
        <f aca="true" t="shared" si="15" ref="F88:F117">E47+E88-I5</f>
        <v>0</v>
      </c>
    </row>
    <row r="89" spans="1:6" ht="15">
      <c r="A89" s="3"/>
      <c r="B89" s="44" t="s">
        <v>109</v>
      </c>
      <c r="C89" s="197">
        <f t="shared" si="13"/>
        <v>0</v>
      </c>
      <c r="D89" s="198">
        <f t="shared" si="13"/>
        <v>0</v>
      </c>
      <c r="E89" s="47">
        <f t="shared" si="14"/>
        <v>0</v>
      </c>
      <c r="F89" s="115">
        <f t="shared" si="15"/>
        <v>0</v>
      </c>
    </row>
    <row r="90" spans="1:6" ht="15">
      <c r="A90" s="3"/>
      <c r="B90" s="52" t="s">
        <v>110</v>
      </c>
      <c r="C90" s="199">
        <f t="shared" si="13"/>
        <v>0</v>
      </c>
      <c r="D90" s="200">
        <f t="shared" si="13"/>
        <v>0</v>
      </c>
      <c r="E90" s="54">
        <f t="shared" si="14"/>
        <v>0</v>
      </c>
      <c r="F90" s="115">
        <f t="shared" si="15"/>
        <v>0</v>
      </c>
    </row>
    <row r="91" spans="1:6" ht="15">
      <c r="A91" s="3"/>
      <c r="B91" s="52" t="s">
        <v>111</v>
      </c>
      <c r="C91" s="199">
        <f t="shared" si="13"/>
        <v>0</v>
      </c>
      <c r="D91" s="200">
        <f t="shared" si="13"/>
        <v>0</v>
      </c>
      <c r="E91" s="54">
        <f t="shared" si="14"/>
        <v>0</v>
      </c>
      <c r="F91" s="115">
        <f t="shared" si="15"/>
        <v>0</v>
      </c>
    </row>
    <row r="92" spans="1:6" ht="15">
      <c r="A92" s="3"/>
      <c r="B92" s="52" t="s">
        <v>112</v>
      </c>
      <c r="C92" s="199">
        <f t="shared" si="13"/>
        <v>0</v>
      </c>
      <c r="D92" s="200">
        <f t="shared" si="13"/>
        <v>0</v>
      </c>
      <c r="E92" s="54">
        <f t="shared" si="14"/>
        <v>0</v>
      </c>
      <c r="F92" s="115">
        <f t="shared" si="15"/>
        <v>0</v>
      </c>
    </row>
    <row r="93" spans="1:6" ht="15.75" thickBot="1">
      <c r="A93" s="3"/>
      <c r="B93" s="57" t="s">
        <v>113</v>
      </c>
      <c r="C93" s="201">
        <f t="shared" si="13"/>
        <v>0</v>
      </c>
      <c r="D93" s="202">
        <f t="shared" si="13"/>
        <v>0</v>
      </c>
      <c r="E93" s="60">
        <f t="shared" si="14"/>
        <v>0</v>
      </c>
      <c r="F93" s="115">
        <f t="shared" si="15"/>
        <v>0</v>
      </c>
    </row>
    <row r="94" spans="1:6" ht="15.75" thickBot="1">
      <c r="A94" s="3"/>
      <c r="B94" s="64" t="s">
        <v>95</v>
      </c>
      <c r="C94" s="65"/>
      <c r="D94" s="38"/>
      <c r="E94" s="66">
        <f>SUM(E89:E93)</f>
        <v>0</v>
      </c>
      <c r="F94" s="115">
        <f t="shared" si="15"/>
        <v>0</v>
      </c>
    </row>
    <row r="95" spans="1:6" ht="15.75" thickBot="1">
      <c r="A95" s="3"/>
      <c r="B95" s="44" t="s">
        <v>114</v>
      </c>
      <c r="C95" s="45">
        <f aca="true" t="shared" si="16" ref="C95:D98">F12</f>
        <v>0</v>
      </c>
      <c r="D95" s="46">
        <f t="shared" si="16"/>
        <v>0</v>
      </c>
      <c r="E95" s="47">
        <f>ROUND(C95*D95,2)</f>
        <v>0</v>
      </c>
      <c r="F95" s="115">
        <f t="shared" si="15"/>
        <v>0</v>
      </c>
    </row>
    <row r="96" spans="1:6" ht="15.75" thickBot="1">
      <c r="A96" s="3"/>
      <c r="B96" s="52" t="s">
        <v>115</v>
      </c>
      <c r="C96" s="45">
        <f t="shared" si="16"/>
        <v>0</v>
      </c>
      <c r="D96" s="46">
        <f t="shared" si="16"/>
        <v>0</v>
      </c>
      <c r="E96" s="54">
        <f>ROUND(C96*D96,2)</f>
        <v>0</v>
      </c>
      <c r="F96" s="115">
        <f t="shared" si="15"/>
        <v>0</v>
      </c>
    </row>
    <row r="97" spans="1:6" ht="15.75" thickBot="1">
      <c r="A97" s="3"/>
      <c r="B97" s="107" t="s">
        <v>116</v>
      </c>
      <c r="C97" s="45">
        <f t="shared" si="16"/>
        <v>0</v>
      </c>
      <c r="D97" s="46">
        <f t="shared" si="16"/>
        <v>0</v>
      </c>
      <c r="E97" s="54">
        <f>ROUND(C97*D97,2)</f>
        <v>0</v>
      </c>
      <c r="F97" s="115">
        <f t="shared" si="15"/>
        <v>0</v>
      </c>
    </row>
    <row r="98" spans="1:6" ht="15.75" thickBot="1">
      <c r="A98" s="3"/>
      <c r="B98" s="57" t="s">
        <v>119</v>
      </c>
      <c r="C98" s="45">
        <f t="shared" si="16"/>
        <v>500</v>
      </c>
      <c r="D98" s="46">
        <f t="shared" si="16"/>
        <v>677.25</v>
      </c>
      <c r="E98" s="60">
        <f>ROUND(C98*D98,2)</f>
        <v>338625</v>
      </c>
      <c r="F98" s="115">
        <f t="shared" si="15"/>
        <v>0</v>
      </c>
    </row>
    <row r="99" spans="1:6" ht="15.75" thickBot="1">
      <c r="A99" s="3"/>
      <c r="B99" s="69" t="s">
        <v>95</v>
      </c>
      <c r="C99" s="65"/>
      <c r="D99" s="38"/>
      <c r="E99" s="66">
        <f>SUM(E95:E98)</f>
        <v>338625</v>
      </c>
      <c r="F99" s="115">
        <f t="shared" si="15"/>
        <v>0</v>
      </c>
    </row>
    <row r="100" spans="1:6" ht="15.75" thickBot="1">
      <c r="A100" s="3"/>
      <c r="B100" s="70" t="s">
        <v>37</v>
      </c>
      <c r="C100" s="71">
        <f aca="true" t="shared" si="17" ref="C100:D105">F17</f>
        <v>0</v>
      </c>
      <c r="D100" s="72">
        <f t="shared" si="17"/>
        <v>0</v>
      </c>
      <c r="E100" s="73">
        <f aca="true" t="shared" si="18" ref="E100:E105">ROUND(C100*D100,2)</f>
        <v>0</v>
      </c>
      <c r="F100" s="115">
        <f t="shared" si="15"/>
        <v>0</v>
      </c>
    </row>
    <row r="101" spans="1:6" ht="15.75" thickBot="1">
      <c r="A101" s="3"/>
      <c r="B101" s="76" t="s">
        <v>117</v>
      </c>
      <c r="C101" s="196">
        <f t="shared" si="17"/>
        <v>0</v>
      </c>
      <c r="D101" s="203">
        <f t="shared" si="17"/>
        <v>0</v>
      </c>
      <c r="E101" s="79">
        <f t="shared" si="18"/>
        <v>0</v>
      </c>
      <c r="F101" s="115">
        <f t="shared" si="15"/>
        <v>0</v>
      </c>
    </row>
    <row r="102" spans="1:6" ht="15.75" thickBot="1">
      <c r="A102" s="3"/>
      <c r="B102" s="81" t="s">
        <v>39</v>
      </c>
      <c r="C102" s="71">
        <f t="shared" si="17"/>
        <v>0</v>
      </c>
      <c r="D102" s="72">
        <f t="shared" si="17"/>
        <v>0</v>
      </c>
      <c r="E102" s="73">
        <f t="shared" si="18"/>
        <v>0</v>
      </c>
      <c r="F102" s="115">
        <f t="shared" si="15"/>
        <v>0</v>
      </c>
    </row>
    <row r="103" spans="1:6" ht="15.75" thickBot="1">
      <c r="A103" s="3"/>
      <c r="B103" s="76" t="s">
        <v>118</v>
      </c>
      <c r="C103" s="196">
        <f t="shared" si="17"/>
        <v>0</v>
      </c>
      <c r="D103" s="203">
        <f t="shared" si="17"/>
        <v>0</v>
      </c>
      <c r="E103" s="79">
        <f t="shared" si="18"/>
        <v>0</v>
      </c>
      <c r="F103" s="115">
        <f t="shared" si="15"/>
        <v>0</v>
      </c>
    </row>
    <row r="104" spans="1:6" ht="15.75" thickBot="1">
      <c r="A104" s="3"/>
      <c r="B104" s="81" t="s">
        <v>96</v>
      </c>
      <c r="C104" s="71">
        <f t="shared" si="17"/>
        <v>0</v>
      </c>
      <c r="D104" s="72">
        <f t="shared" si="17"/>
        <v>0</v>
      </c>
      <c r="E104" s="73">
        <f t="shared" si="18"/>
        <v>0</v>
      </c>
      <c r="F104" s="115">
        <f t="shared" si="15"/>
        <v>0</v>
      </c>
    </row>
    <row r="105" spans="1:6" ht="15.75" thickBot="1">
      <c r="A105" s="3"/>
      <c r="B105" s="81" t="s">
        <v>120</v>
      </c>
      <c r="C105" s="71">
        <f t="shared" si="17"/>
        <v>1085.17</v>
      </c>
      <c r="D105" s="72">
        <f t="shared" si="17"/>
        <v>702.81</v>
      </c>
      <c r="E105" s="110">
        <f t="shared" si="18"/>
        <v>762668.33</v>
      </c>
      <c r="F105" s="115">
        <f t="shared" si="15"/>
        <v>0</v>
      </c>
    </row>
    <row r="106" spans="1:6" ht="16.5" thickBot="1" thickTop="1">
      <c r="A106" s="82">
        <v>1</v>
      </c>
      <c r="B106" s="108" t="s">
        <v>97</v>
      </c>
      <c r="C106" s="111"/>
      <c r="D106" s="112"/>
      <c r="E106" s="84">
        <f>E88+E94+E99+SUM(E100:E105)</f>
        <v>1101293.33</v>
      </c>
      <c r="F106" s="115">
        <f t="shared" si="15"/>
        <v>0</v>
      </c>
    </row>
    <row r="107" spans="1:6" ht="16.5" thickBot="1" thickTop="1">
      <c r="A107" s="3"/>
      <c r="B107" s="86" t="s">
        <v>98</v>
      </c>
      <c r="C107" s="87"/>
      <c r="D107" s="87"/>
      <c r="E107" s="87"/>
      <c r="F107" s="115">
        <f t="shared" si="15"/>
        <v>0</v>
      </c>
    </row>
    <row r="108" spans="1:6" ht="15.75" thickTop="1">
      <c r="A108" s="3"/>
      <c r="B108" s="90">
        <f>B25</f>
        <v>0</v>
      </c>
      <c r="C108" s="414">
        <f>C25</f>
        <v>0</v>
      </c>
      <c r="D108" s="415"/>
      <c r="E108" s="91">
        <f>H25</f>
        <v>0</v>
      </c>
      <c r="F108" s="115">
        <f t="shared" si="15"/>
        <v>0</v>
      </c>
    </row>
    <row r="109" spans="1:6" ht="15">
      <c r="A109" s="3"/>
      <c r="B109" s="52" t="str">
        <f>B26</f>
        <v>Manutenção Estradas ha./ano</v>
      </c>
      <c r="C109" s="404" t="str">
        <f>C26</f>
        <v>R$34,34/ha/ano - 22 anos</v>
      </c>
      <c r="D109" s="405"/>
      <c r="E109" s="43">
        <f aca="true" t="shared" si="19" ref="E109:E116">H26</f>
        <v>433117.62000000005</v>
      </c>
      <c r="F109" s="115">
        <f t="shared" si="15"/>
        <v>0</v>
      </c>
    </row>
    <row r="110" spans="1:6" ht="15">
      <c r="A110" s="3"/>
      <c r="B110" s="52" t="str">
        <f aca="true" t="shared" si="20" ref="B110:C116">B27</f>
        <v>Prevenção Incêndios ha./ano</v>
      </c>
      <c r="C110" s="404" t="str">
        <f t="shared" si="20"/>
        <v>R$20,55ha/ano - 22 anos</v>
      </c>
      <c r="D110" s="405"/>
      <c r="E110" s="43">
        <f t="shared" si="19"/>
        <v>259189.62000000002</v>
      </c>
      <c r="F110" s="115">
        <f t="shared" si="15"/>
        <v>0</v>
      </c>
    </row>
    <row r="111" spans="1:6" ht="15">
      <c r="A111" s="3"/>
      <c r="B111" s="52" t="str">
        <f t="shared" si="20"/>
        <v>1 Caminhoneta cabine simples4x4diesel</v>
      </c>
      <c r="C111" s="404" t="str">
        <f t="shared" si="20"/>
        <v>R$ 93.000,00 unitário - aquis.2016</v>
      </c>
      <c r="D111" s="405"/>
      <c r="E111" s="43">
        <f t="shared" si="19"/>
        <v>93000</v>
      </c>
      <c r="F111" s="115">
        <f t="shared" si="15"/>
        <v>0</v>
      </c>
    </row>
    <row r="112" spans="1:6" ht="15">
      <c r="A112" s="3"/>
      <c r="B112" s="52" t="str">
        <f t="shared" si="20"/>
        <v>1 SUV 4x4 diesel</v>
      </c>
      <c r="C112" s="404" t="str">
        <f t="shared" si="20"/>
        <v>R$ 79.000,00 unitário = aquis 2016</v>
      </c>
      <c r="D112" s="405"/>
      <c r="E112" s="43">
        <f t="shared" si="19"/>
        <v>79000</v>
      </c>
      <c r="F112" s="115">
        <f t="shared" si="15"/>
        <v>0</v>
      </c>
    </row>
    <row r="113" spans="1:6" ht="15">
      <c r="A113" s="3"/>
      <c r="B113" s="52" t="str">
        <f t="shared" si="20"/>
        <v>4 motos trail com mín 160cc</v>
      </c>
      <c r="C113" s="404" t="str">
        <f t="shared" si="20"/>
        <v>R$ 10.700,00 unitário - aquis.2016</v>
      </c>
      <c r="D113" s="405"/>
      <c r="E113" s="43">
        <f t="shared" si="19"/>
        <v>42800</v>
      </c>
      <c r="F113" s="115">
        <f t="shared" si="15"/>
        <v>0</v>
      </c>
    </row>
    <row r="114" spans="1:6" ht="15">
      <c r="A114" s="3"/>
      <c r="B114" s="52">
        <f t="shared" si="20"/>
        <v>0</v>
      </c>
      <c r="C114" s="404">
        <f t="shared" si="20"/>
        <v>0</v>
      </c>
      <c r="D114" s="405"/>
      <c r="E114" s="43">
        <f t="shared" si="19"/>
        <v>0</v>
      </c>
      <c r="F114" s="115">
        <f t="shared" si="15"/>
        <v>0</v>
      </c>
    </row>
    <row r="115" spans="1:6" ht="15">
      <c r="A115" s="3"/>
      <c r="B115" s="52" t="str">
        <f t="shared" si="20"/>
        <v>Man.veícs (3anos)</v>
      </c>
      <c r="C115" s="404">
        <f t="shared" si="20"/>
        <v>0</v>
      </c>
      <c r="D115" s="405"/>
      <c r="E115" s="43">
        <f t="shared" si="19"/>
        <v>13680</v>
      </c>
      <c r="F115" s="115">
        <f t="shared" si="15"/>
        <v>0</v>
      </c>
    </row>
    <row r="116" spans="1:6" ht="15.75" thickBot="1">
      <c r="A116" s="3"/>
      <c r="B116" s="52" t="str">
        <f t="shared" si="20"/>
        <v>Administração IFPR realizado/a realizar </v>
      </c>
      <c r="C116" s="404" t="str">
        <f t="shared" si="20"/>
        <v>R$41,29/há/ano</v>
      </c>
      <c r="D116" s="405"/>
      <c r="E116" s="51">
        <f t="shared" si="19"/>
        <v>0</v>
      </c>
      <c r="F116" s="115">
        <f t="shared" si="15"/>
        <v>0</v>
      </c>
    </row>
    <row r="117" spans="1:6" ht="16.5" thickBot="1" thickTop="1">
      <c r="A117" s="82">
        <v>2</v>
      </c>
      <c r="B117" s="83" t="s">
        <v>106</v>
      </c>
      <c r="C117" s="83"/>
      <c r="D117" s="101"/>
      <c r="E117" s="102">
        <f>SUM(E108:E116)</f>
        <v>920787.2400000001</v>
      </c>
      <c r="F117" s="115">
        <f t="shared" si="15"/>
        <v>0</v>
      </c>
    </row>
    <row r="118" spans="1:5" ht="16.5" thickBot="1" thickTop="1">
      <c r="A118" s="3"/>
      <c r="B118" s="3"/>
      <c r="C118" s="3"/>
      <c r="D118" s="3"/>
      <c r="E118" s="104"/>
    </row>
    <row r="119" spans="1:6" ht="16.5" thickBot="1" thickTop="1">
      <c r="A119" s="82">
        <v>3</v>
      </c>
      <c r="B119" s="83" t="s">
        <v>107</v>
      </c>
      <c r="C119" s="83"/>
      <c r="D119" s="101"/>
      <c r="E119" s="102">
        <f>E106+E117</f>
        <v>2022080.5700000003</v>
      </c>
      <c r="F119" s="115">
        <f>E78+E119-I36</f>
        <v>0</v>
      </c>
    </row>
    <row r="120" spans="1:6" ht="16.5" thickBot="1" thickTop="1">
      <c r="A120" s="3"/>
      <c r="B120" s="83" t="s">
        <v>108</v>
      </c>
      <c r="C120" s="83"/>
      <c r="D120" s="101"/>
      <c r="E120" s="102">
        <f>H37</f>
        <v>21.65</v>
      </c>
      <c r="F120" s="115">
        <f>E79+E120-I37</f>
        <v>0</v>
      </c>
    </row>
    <row r="121" spans="1:6" ht="16.5" thickBot="1" thickTop="1">
      <c r="A121" s="82">
        <v>4</v>
      </c>
      <c r="B121" s="86" t="s">
        <v>311</v>
      </c>
      <c r="C121" s="270"/>
      <c r="D121" s="232"/>
      <c r="E121" s="102">
        <f>H38</f>
        <v>2647408.9399999995</v>
      </c>
      <c r="F121" s="115">
        <f>E80+E121-I38</f>
        <v>0</v>
      </c>
    </row>
    <row r="122" spans="1:6" ht="16.5" thickBot="1" thickTop="1">
      <c r="A122" s="82">
        <v>5</v>
      </c>
      <c r="B122" s="86" t="s">
        <v>312</v>
      </c>
      <c r="C122" s="270"/>
      <c r="D122" s="232"/>
      <c r="E122" s="102">
        <f>H39</f>
        <v>4669489.51</v>
      </c>
      <c r="F122" s="115">
        <f>E81+E122-I39</f>
        <v>0</v>
      </c>
    </row>
    <row r="123" spans="2:6" ht="16.5" thickBot="1" thickTop="1">
      <c r="B123" s="86" t="s">
        <v>314</v>
      </c>
      <c r="C123" s="270"/>
      <c r="D123" s="146"/>
      <c r="E123" s="102">
        <f>H40</f>
        <v>50</v>
      </c>
      <c r="F123" s="115">
        <f>E82+E123-I40</f>
        <v>0</v>
      </c>
    </row>
    <row r="124" ht="15.75" thickTop="1"/>
  </sheetData>
  <sheetProtection/>
  <mergeCells count="32">
    <mergeCell ref="C71:D71"/>
    <mergeCell ref="C72:D72"/>
    <mergeCell ref="C73:D73"/>
    <mergeCell ref="C74:D74"/>
    <mergeCell ref="C110:D110"/>
    <mergeCell ref="C112:D112"/>
    <mergeCell ref="C111:D111"/>
    <mergeCell ref="C28:D28"/>
    <mergeCell ref="C33:D33"/>
    <mergeCell ref="C2:E2"/>
    <mergeCell ref="F2:H2"/>
    <mergeCell ref="K2:O2"/>
    <mergeCell ref="C3:E3"/>
    <mergeCell ref="F3:H3"/>
    <mergeCell ref="C25:D25"/>
    <mergeCell ref="C26:D26"/>
    <mergeCell ref="C27:D27"/>
    <mergeCell ref="C44:E44"/>
    <mergeCell ref="C45:E45"/>
    <mergeCell ref="C67:D67"/>
    <mergeCell ref="C68:D68"/>
    <mergeCell ref="C69:D69"/>
    <mergeCell ref="C70:D70"/>
    <mergeCell ref="C116:D116"/>
    <mergeCell ref="C85:E85"/>
    <mergeCell ref="C75:D75"/>
    <mergeCell ref="C86:E86"/>
    <mergeCell ref="C108:D108"/>
    <mergeCell ref="C109:D109"/>
    <mergeCell ref="C113:D113"/>
    <mergeCell ref="C114:D114"/>
    <mergeCell ref="C115:D115"/>
  </mergeCells>
  <printOptions/>
  <pageMargins left="0.511811024" right="0.511811024" top="0.787401575" bottom="0.787401575" header="0.31496062" footer="0.31496062"/>
  <pageSetup orientation="portrait" paperSize="9" scale="73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2"/>
  <sheetViews>
    <sheetView zoomScalePageLayoutView="0" workbookViewId="0" topLeftCell="A133">
      <selection activeCell="G106" sqref="G106"/>
    </sheetView>
  </sheetViews>
  <sheetFormatPr defaultColWidth="9.140625" defaultRowHeight="15"/>
  <cols>
    <col min="1" max="1" width="12.28125" style="0" customWidth="1"/>
    <col min="2" max="2" width="16.28125" style="0" customWidth="1"/>
    <col min="3" max="3" width="12.00390625" style="0" customWidth="1"/>
    <col min="4" max="4" width="11.28125" style="0" bestFit="1" customWidth="1"/>
    <col min="5" max="5" width="13.421875" style="0" bestFit="1" customWidth="1"/>
    <col min="6" max="6" width="13.7109375" style="0" customWidth="1"/>
    <col min="7" max="8" width="13.421875" style="0" bestFit="1" customWidth="1"/>
    <col min="9" max="9" width="12.28125" style="0" bestFit="1" customWidth="1"/>
    <col min="10" max="10" width="9.28125" style="0" customWidth="1"/>
    <col min="11" max="11" width="12.28125" style="0" bestFit="1" customWidth="1"/>
    <col min="12" max="12" width="10.7109375" style="0" bestFit="1" customWidth="1"/>
    <col min="13" max="13" width="9.57421875" style="0" bestFit="1" customWidth="1"/>
    <col min="14" max="14" width="11.28125" style="0" customWidth="1"/>
    <col min="15" max="15" width="13.00390625" style="0" customWidth="1"/>
    <col min="16" max="16" width="5.7109375" style="0" customWidth="1"/>
    <col min="18" max="18" width="7.28125" style="0" customWidth="1"/>
    <col min="19" max="19" width="8.57421875" style="0" customWidth="1"/>
    <col min="20" max="20" width="12.28125" style="0" customWidth="1"/>
    <col min="22" max="22" width="13.421875" style="0" bestFit="1" customWidth="1"/>
    <col min="23" max="23" width="12.28125" style="0" bestFit="1" customWidth="1"/>
    <col min="24" max="24" width="12.8515625" style="0" bestFit="1" customWidth="1"/>
    <col min="25" max="25" width="13.421875" style="0" bestFit="1" customWidth="1"/>
    <col min="27" max="28" width="12.28125" style="0" bestFit="1" customWidth="1"/>
  </cols>
  <sheetData>
    <row r="1" ht="15">
      <c r="A1" t="s">
        <v>389</v>
      </c>
    </row>
    <row r="2" ht="15.75" thickBot="1"/>
    <row r="3" spans="1:26" ht="15.75" thickTop="1">
      <c r="A3" s="13" t="s">
        <v>198</v>
      </c>
      <c r="B3" s="113">
        <v>530</v>
      </c>
      <c r="C3" s="114"/>
      <c r="D3" s="115"/>
      <c r="E3" s="115"/>
      <c r="F3" s="115"/>
      <c r="G3" s="115"/>
      <c r="T3" s="13"/>
      <c r="U3" s="14"/>
      <c r="V3" s="14"/>
      <c r="W3" s="15" t="s">
        <v>199</v>
      </c>
      <c r="X3" s="14"/>
      <c r="Y3" s="14"/>
      <c r="Z3" s="16" t="s">
        <v>200</v>
      </c>
    </row>
    <row r="4" spans="1:27" ht="15.75" thickBot="1">
      <c r="A4" s="21" t="s">
        <v>201</v>
      </c>
      <c r="B4" s="117">
        <v>210</v>
      </c>
      <c r="C4" s="19"/>
      <c r="D4" s="115"/>
      <c r="E4" s="115"/>
      <c r="F4" s="115"/>
      <c r="G4" s="210">
        <v>530</v>
      </c>
      <c r="H4" s="210">
        <v>100</v>
      </c>
      <c r="I4" s="210">
        <f>ROUND(G4*H4,2)</f>
        <v>53000</v>
      </c>
      <c r="J4" s="210">
        <v>12</v>
      </c>
      <c r="K4" s="210">
        <f>ROUND(I4*J4,2)</f>
        <v>636000</v>
      </c>
      <c r="T4" s="21"/>
      <c r="U4" s="116" t="s">
        <v>202</v>
      </c>
      <c r="V4" s="116" t="s">
        <v>203</v>
      </c>
      <c r="W4" s="117">
        <v>20</v>
      </c>
      <c r="X4" s="118" t="s">
        <v>204</v>
      </c>
      <c r="Y4" s="117"/>
      <c r="Z4" s="211" t="s">
        <v>205</v>
      </c>
      <c r="AA4" s="115"/>
    </row>
    <row r="5" spans="1:27" ht="16.5" thickBot="1" thickTop="1">
      <c r="A5" s="21" t="s">
        <v>206</v>
      </c>
      <c r="B5" s="117">
        <f>ROUND(B3*B4,2)</f>
        <v>111300</v>
      </c>
      <c r="C5" s="19"/>
      <c r="D5" s="188">
        <v>12</v>
      </c>
      <c r="E5" s="103">
        <f>B5*D5</f>
        <v>1335600</v>
      </c>
      <c r="F5" s="115"/>
      <c r="G5" s="210">
        <v>530</v>
      </c>
      <c r="H5" s="210">
        <v>210</v>
      </c>
      <c r="I5" s="210">
        <f>ROUND(G5*H5,2)</f>
        <v>111300</v>
      </c>
      <c r="J5" s="210">
        <v>12</v>
      </c>
      <c r="K5" s="210">
        <f>ROUND(I5*J5,2)</f>
        <v>1335600</v>
      </c>
      <c r="T5" s="21" t="s">
        <v>207</v>
      </c>
      <c r="U5" s="18">
        <v>39.34</v>
      </c>
      <c r="V5" s="117">
        <f>ROUND(V8*U5%,2)</f>
        <v>10449175.36</v>
      </c>
      <c r="W5" s="117"/>
      <c r="X5" s="117">
        <f>W6</f>
        <v>3222404.56</v>
      </c>
      <c r="Y5" s="117">
        <f>V5+X5</f>
        <v>13671579.92</v>
      </c>
      <c r="Z5" s="19">
        <f>ROUND(Y5/Y7%,2)</f>
        <v>51.47</v>
      </c>
      <c r="AA5" s="115"/>
    </row>
    <row r="6" spans="1:27" ht="16.5" thickBot="1" thickTop="1">
      <c r="A6" s="21" t="s">
        <v>208</v>
      </c>
      <c r="B6" s="117">
        <v>1272.6</v>
      </c>
      <c r="C6" s="19"/>
      <c r="D6" s="115"/>
      <c r="E6" s="115"/>
      <c r="F6" s="115"/>
      <c r="G6" s="115"/>
      <c r="T6" s="21" t="s">
        <v>209</v>
      </c>
      <c r="U6" s="18">
        <v>60.66</v>
      </c>
      <c r="V6" s="117">
        <f>ROUND(V8*U6%,2)</f>
        <v>16112022.8</v>
      </c>
      <c r="W6" s="117">
        <f>ROUND(V6*W4%,2)</f>
        <v>3222404.56</v>
      </c>
      <c r="X6" s="117">
        <f>W6*-1</f>
        <v>-3222404.56</v>
      </c>
      <c r="Y6" s="117">
        <f>V6+X6</f>
        <v>12889618.24</v>
      </c>
      <c r="Z6" s="19">
        <f>ROUND(Y6/Y7%,2)</f>
        <v>48.53</v>
      </c>
      <c r="AA6" s="115"/>
    </row>
    <row r="7" spans="1:27" ht="16.5" thickBot="1" thickTop="1">
      <c r="A7" s="23" t="s">
        <v>210</v>
      </c>
      <c r="B7" s="212">
        <f>ROUND(B5/B6,2)</f>
        <v>87.46</v>
      </c>
      <c r="C7" s="213" t="s">
        <v>211</v>
      </c>
      <c r="D7" s="115"/>
      <c r="E7" s="115"/>
      <c r="F7" s="115"/>
      <c r="G7" s="115"/>
      <c r="K7" s="188">
        <v>1272.6</v>
      </c>
      <c r="L7" s="159">
        <f>ROUND(B7*K7,2)</f>
        <v>111301.6</v>
      </c>
      <c r="M7" s="159">
        <v>12</v>
      </c>
      <c r="N7" s="103">
        <f>ROUND(L7*M7,2)</f>
        <v>1335619.2</v>
      </c>
      <c r="T7" s="21"/>
      <c r="U7" s="18"/>
      <c r="V7" s="117">
        <f>SUM(V5:V6)</f>
        <v>26561198.16</v>
      </c>
      <c r="W7" s="117">
        <f>SUM(W4:W6)</f>
        <v>3222424.56</v>
      </c>
      <c r="X7" s="117"/>
      <c r="Y7" s="117">
        <f>SUM(Y5:Y6)</f>
        <v>26561198.16</v>
      </c>
      <c r="Z7" s="19">
        <f>SUM(Z5:Z6)</f>
        <v>100</v>
      </c>
      <c r="AA7" s="115"/>
    </row>
    <row r="8" spans="2:27" ht="16.5" thickBot="1" thickTop="1">
      <c r="B8" s="115"/>
      <c r="C8" s="115"/>
      <c r="D8" s="115"/>
      <c r="E8" s="115"/>
      <c r="F8" s="120"/>
      <c r="G8" s="113" t="s">
        <v>212</v>
      </c>
      <c r="H8" s="14" t="s">
        <v>213</v>
      </c>
      <c r="I8" s="145" t="s">
        <v>214</v>
      </c>
      <c r="K8" s="115"/>
      <c r="L8" s="115"/>
      <c r="M8" s="115"/>
      <c r="N8" s="115"/>
      <c r="T8" s="22" t="s">
        <v>215</v>
      </c>
      <c r="U8" s="18"/>
      <c r="V8" s="117">
        <v>26561198.16</v>
      </c>
      <c r="W8" s="117"/>
      <c r="X8" s="117"/>
      <c r="Y8" s="117"/>
      <c r="Z8" s="19"/>
      <c r="AA8" s="115"/>
    </row>
    <row r="9" spans="1:27" ht="16.5" thickBot="1" thickTop="1">
      <c r="A9" s="148" t="s">
        <v>216</v>
      </c>
      <c r="B9" s="113">
        <v>2849.25</v>
      </c>
      <c r="C9" s="113"/>
      <c r="D9" s="113"/>
      <c r="E9" s="136"/>
      <c r="F9" s="133">
        <v>12</v>
      </c>
      <c r="G9" s="119">
        <f>ROUND(B9*F9,2)</f>
        <v>34191</v>
      </c>
      <c r="H9" s="24">
        <v>23</v>
      </c>
      <c r="I9" s="25">
        <f>ROUND(G9*H9,2)</f>
        <v>786393</v>
      </c>
      <c r="K9" s="115"/>
      <c r="L9" s="115"/>
      <c r="M9" s="115"/>
      <c r="N9" s="115"/>
      <c r="T9" s="23"/>
      <c r="U9" s="24"/>
      <c r="V9" s="119"/>
      <c r="W9" s="119"/>
      <c r="X9" s="119"/>
      <c r="Y9" s="119"/>
      <c r="Z9" s="25"/>
      <c r="AA9" s="115"/>
    </row>
    <row r="10" spans="1:14" ht="15.75" thickTop="1">
      <c r="A10" s="21" t="s">
        <v>217</v>
      </c>
      <c r="B10" s="117">
        <v>1272.6</v>
      </c>
      <c r="C10" s="18"/>
      <c r="D10" s="18"/>
      <c r="E10" s="124"/>
      <c r="K10" s="115"/>
      <c r="L10" s="115"/>
      <c r="M10" s="115"/>
      <c r="N10" s="115"/>
    </row>
    <row r="11" spans="1:14" ht="15.75" thickBot="1">
      <c r="A11" s="21" t="s">
        <v>218</v>
      </c>
      <c r="B11" s="117">
        <f>ROUND(B9/B10,2)</f>
        <v>2.24</v>
      </c>
      <c r="C11" s="18"/>
      <c r="D11" s="18"/>
      <c r="E11" s="124"/>
      <c r="K11" s="115"/>
      <c r="L11" s="115"/>
      <c r="M11" s="115"/>
      <c r="N11" s="115"/>
    </row>
    <row r="12" spans="1:28" ht="16.5" thickBot="1" thickTop="1">
      <c r="A12" s="21"/>
      <c r="B12" s="117">
        <v>12</v>
      </c>
      <c r="C12" s="214" t="s">
        <v>219</v>
      </c>
      <c r="D12" s="18"/>
      <c r="E12" s="124" t="s">
        <v>220</v>
      </c>
      <c r="K12" s="115"/>
      <c r="L12" s="115"/>
      <c r="M12" s="115"/>
      <c r="N12" s="115"/>
      <c r="T12" s="13"/>
      <c r="U12" s="14"/>
      <c r="V12" s="14"/>
      <c r="W12" s="15"/>
      <c r="X12" s="14"/>
      <c r="Y12" s="14"/>
      <c r="Z12" s="16"/>
      <c r="AA12">
        <v>20</v>
      </c>
      <c r="AB12" s="215" t="s">
        <v>221</v>
      </c>
    </row>
    <row r="13" spans="1:26" ht="16.5" thickBot="1" thickTop="1">
      <c r="A13" s="23" t="s">
        <v>222</v>
      </c>
      <c r="B13" s="216">
        <f>ROUND(B11*B12,2)</f>
        <v>26.88</v>
      </c>
      <c r="C13" s="216">
        <f>ROUND(E13/D13,2)</f>
        <v>23</v>
      </c>
      <c r="D13" s="24">
        <v>12</v>
      </c>
      <c r="E13" s="126">
        <v>276</v>
      </c>
      <c r="K13" s="188">
        <v>1272.6</v>
      </c>
      <c r="L13" s="159">
        <f>ROUND(B13*K13,2)</f>
        <v>34207.49</v>
      </c>
      <c r="M13" s="159">
        <v>23</v>
      </c>
      <c r="N13" s="103">
        <f>ROUND(L13*M13,2)</f>
        <v>786772.27</v>
      </c>
      <c r="T13" s="21"/>
      <c r="U13" s="116" t="s">
        <v>202</v>
      </c>
      <c r="V13" s="116" t="s">
        <v>203</v>
      </c>
      <c r="W13" s="117"/>
      <c r="X13" s="118"/>
      <c r="Y13" s="117"/>
      <c r="Z13" s="211"/>
    </row>
    <row r="14" spans="11:26" ht="16.5" thickBot="1" thickTop="1">
      <c r="K14" s="115"/>
      <c r="L14" s="115"/>
      <c r="M14" s="115"/>
      <c r="N14" s="115"/>
      <c r="T14" s="21" t="s">
        <v>207</v>
      </c>
      <c r="U14" s="18">
        <v>39.34</v>
      </c>
      <c r="V14" s="117">
        <f>ROUND(V17*U14%,2)</f>
        <v>10449175.36</v>
      </c>
      <c r="W14" s="117"/>
      <c r="X14" s="117"/>
      <c r="Y14" s="117"/>
      <c r="Z14" s="19"/>
    </row>
    <row r="15" spans="6:28" ht="16.5" thickBot="1" thickTop="1">
      <c r="F15" s="120"/>
      <c r="G15" s="113" t="s">
        <v>212</v>
      </c>
      <c r="H15" s="14" t="s">
        <v>213</v>
      </c>
      <c r="I15" s="145" t="s">
        <v>214</v>
      </c>
      <c r="K15" s="115"/>
      <c r="L15" s="115"/>
      <c r="M15" s="115"/>
      <c r="N15" s="115"/>
      <c r="T15" s="21" t="s">
        <v>209</v>
      </c>
      <c r="U15" s="18">
        <v>60.66</v>
      </c>
      <c r="V15" s="117">
        <f>ROUND(V17*U15%,2)</f>
        <v>16112022.8</v>
      </c>
      <c r="W15" s="117"/>
      <c r="X15" s="117"/>
      <c r="Y15" s="117"/>
      <c r="Z15" s="19"/>
      <c r="AA15" s="115">
        <f>ROUND(V15*AA12%,2)</f>
        <v>3222404.56</v>
      </c>
      <c r="AB15" s="217">
        <f>ROUND(AA15/V17%,4)</f>
        <v>12.132</v>
      </c>
    </row>
    <row r="16" spans="1:28" ht="16.5" thickBot="1" thickTop="1">
      <c r="A16" s="13" t="s">
        <v>223</v>
      </c>
      <c r="B16" s="113">
        <v>1709.55</v>
      </c>
      <c r="C16" s="14"/>
      <c r="D16" s="14"/>
      <c r="E16" s="218"/>
      <c r="F16" s="133">
        <v>12</v>
      </c>
      <c r="G16" s="119">
        <f>ROUND(B16*F16,2)</f>
        <v>20514.6</v>
      </c>
      <c r="H16" s="24">
        <v>23</v>
      </c>
      <c r="I16" s="25">
        <f>ROUND(G16*H16,2)</f>
        <v>471835.8</v>
      </c>
      <c r="K16" s="115"/>
      <c r="L16" s="115"/>
      <c r="M16" s="115"/>
      <c r="N16" s="115"/>
      <c r="T16" s="21"/>
      <c r="U16" s="18"/>
      <c r="V16" s="117">
        <f>SUM(V14:V15)</f>
        <v>26561198.16</v>
      </c>
      <c r="W16" s="117"/>
      <c r="X16" s="117"/>
      <c r="Y16" s="117"/>
      <c r="Z16" s="19"/>
      <c r="AB16" s="115">
        <f>ROUND(V17*AB15%,4)</f>
        <v>3222404.5608</v>
      </c>
    </row>
    <row r="17" spans="1:26" ht="15.75" thickTop="1">
      <c r="A17" s="21" t="s">
        <v>217</v>
      </c>
      <c r="B17" s="117">
        <v>1272.6</v>
      </c>
      <c r="C17" s="18"/>
      <c r="D17" s="18"/>
      <c r="E17" s="124"/>
      <c r="K17" s="115"/>
      <c r="L17" s="115"/>
      <c r="M17" s="115"/>
      <c r="N17" s="115"/>
      <c r="T17" s="22" t="s">
        <v>215</v>
      </c>
      <c r="U17" s="18"/>
      <c r="V17" s="117">
        <v>26561198.16</v>
      </c>
      <c r="W17" s="117"/>
      <c r="X17" s="117"/>
      <c r="Y17" s="117"/>
      <c r="Z17" s="19"/>
    </row>
    <row r="18" spans="1:26" ht="15.75" thickBot="1">
      <c r="A18" s="21" t="s">
        <v>224</v>
      </c>
      <c r="B18" s="117">
        <f>ROUND(B16/B17,2)</f>
        <v>1.34</v>
      </c>
      <c r="C18" s="18"/>
      <c r="D18" s="18"/>
      <c r="E18" s="124"/>
      <c r="K18" s="115"/>
      <c r="L18" s="115"/>
      <c r="M18" s="115"/>
      <c r="N18" s="115"/>
      <c r="T18" s="23"/>
      <c r="U18" s="24">
        <f>SUM(U14:U16)</f>
        <v>100</v>
      </c>
      <c r="V18" s="119"/>
      <c r="W18" s="119"/>
      <c r="X18" s="119"/>
      <c r="Y18" s="119"/>
      <c r="Z18" s="25"/>
    </row>
    <row r="19" spans="1:14" ht="16.5" thickBot="1" thickTop="1">
      <c r="A19" s="21"/>
      <c r="B19" s="117">
        <v>12</v>
      </c>
      <c r="C19" s="18" t="s">
        <v>219</v>
      </c>
      <c r="D19" s="18"/>
      <c r="E19" s="124" t="s">
        <v>220</v>
      </c>
      <c r="K19" s="115"/>
      <c r="L19" s="115"/>
      <c r="M19" s="115"/>
      <c r="N19" s="115"/>
    </row>
    <row r="20" spans="1:14" ht="16.5" thickBot="1" thickTop="1">
      <c r="A20" s="23" t="s">
        <v>225</v>
      </c>
      <c r="B20" s="216">
        <f>ROUND(B18*B19,2)</f>
        <v>16.08</v>
      </c>
      <c r="C20" s="216">
        <f>ROUND(E20/D20,2)</f>
        <v>23</v>
      </c>
      <c r="D20" s="24">
        <v>12</v>
      </c>
      <c r="E20" s="126">
        <v>276</v>
      </c>
      <c r="K20" s="188">
        <v>1272.6</v>
      </c>
      <c r="L20" s="159">
        <f>ROUND(B20*K20,2)</f>
        <v>20463.41</v>
      </c>
      <c r="M20" s="159">
        <v>23</v>
      </c>
      <c r="N20" s="103">
        <f>ROUND(L20*M20,2)</f>
        <v>470658.43</v>
      </c>
    </row>
    <row r="21" spans="20:28" ht="15.75" thickTop="1">
      <c r="T21" s="13"/>
      <c r="U21" s="14"/>
      <c r="V21" s="14"/>
      <c r="W21" s="15"/>
      <c r="X21" s="14"/>
      <c r="Y21" s="14"/>
      <c r="Z21" s="16"/>
      <c r="AA21">
        <v>20</v>
      </c>
      <c r="AB21" s="215" t="s">
        <v>221</v>
      </c>
    </row>
    <row r="22" spans="20:26" ht="15">
      <c r="T22" s="21"/>
      <c r="U22" s="116" t="s">
        <v>202</v>
      </c>
      <c r="V22" s="116" t="s">
        <v>203</v>
      </c>
      <c r="W22" s="117"/>
      <c r="X22" s="118"/>
      <c r="Y22" s="117"/>
      <c r="Z22" s="211"/>
    </row>
    <row r="23" spans="20:26" ht="15">
      <c r="T23" s="21" t="s">
        <v>207</v>
      </c>
      <c r="U23" s="18">
        <v>20</v>
      </c>
      <c r="V23" s="117">
        <f>ROUND(V26*U23%,2)</f>
        <v>5312239.63</v>
      </c>
      <c r="W23" s="117"/>
      <c r="X23" s="117"/>
      <c r="Y23" s="117"/>
      <c r="Z23" s="19"/>
    </row>
    <row r="24" spans="1:28" ht="15.75" thickBot="1">
      <c r="A24" t="s">
        <v>226</v>
      </c>
      <c r="T24" s="21" t="s">
        <v>209</v>
      </c>
      <c r="U24" s="18">
        <v>80</v>
      </c>
      <c r="V24" s="117">
        <f>ROUND(V26*U24%,2)</f>
        <v>21248958.53</v>
      </c>
      <c r="W24" s="117"/>
      <c r="X24" s="117"/>
      <c r="Y24" s="117"/>
      <c r="Z24" s="19"/>
      <c r="AA24" s="115">
        <f>ROUND(V24*AA21%,2)</f>
        <v>4249791.71</v>
      </c>
      <c r="AB24" s="217">
        <f>ROUND(AA24/V26%,4)</f>
        <v>16</v>
      </c>
    </row>
    <row r="25" spans="1:28" ht="15.75" thickTop="1">
      <c r="A25" s="13" t="s">
        <v>227</v>
      </c>
      <c r="B25" s="14"/>
      <c r="C25" s="14"/>
      <c r="D25" s="14"/>
      <c r="E25" s="14"/>
      <c r="F25" s="114">
        <v>26561198.16</v>
      </c>
      <c r="G25" s="115"/>
      <c r="H25" s="115"/>
      <c r="T25" s="21"/>
      <c r="U25" s="18"/>
      <c r="V25" s="117">
        <f>SUM(V23:V24)</f>
        <v>26561198.16</v>
      </c>
      <c r="W25" s="117"/>
      <c r="X25" s="117"/>
      <c r="Y25" s="117"/>
      <c r="Z25" s="19"/>
      <c r="AB25" s="115">
        <f>ROUND(V26*AB24%,4)</f>
        <v>4249791.7056</v>
      </c>
    </row>
    <row r="26" spans="1:26" ht="15">
      <c r="A26" s="21" t="s">
        <v>228</v>
      </c>
      <c r="B26" s="18"/>
      <c r="C26" s="18"/>
      <c r="D26" s="18"/>
      <c r="E26" s="18"/>
      <c r="F26" s="219">
        <f>'[2]ResumoCaç2013'!I37</f>
        <v>53.73</v>
      </c>
      <c r="G26" s="115"/>
      <c r="H26" s="115"/>
      <c r="T26" s="22" t="s">
        <v>215</v>
      </c>
      <c r="U26" s="18"/>
      <c r="V26" s="117">
        <v>26561198.16</v>
      </c>
      <c r="W26" s="117"/>
      <c r="X26" s="117"/>
      <c r="Y26" s="117"/>
      <c r="Z26" s="19"/>
    </row>
    <row r="27" spans="1:26" ht="15.75" thickBot="1">
      <c r="A27" s="21" t="s">
        <v>229</v>
      </c>
      <c r="B27" s="18"/>
      <c r="C27" s="18"/>
      <c r="D27" s="18"/>
      <c r="E27" s="18"/>
      <c r="F27" s="19">
        <f>ROUND(F25*F26%,2)</f>
        <v>14271331.77</v>
      </c>
      <c r="G27" s="115"/>
      <c r="H27" s="115"/>
      <c r="T27" s="23"/>
      <c r="U27" s="24">
        <f>SUM(U23:U25)</f>
        <v>100</v>
      </c>
      <c r="V27" s="119"/>
      <c r="W27" s="119"/>
      <c r="X27" s="119"/>
      <c r="Y27" s="119"/>
      <c r="Z27" s="25"/>
    </row>
    <row r="28" spans="1:8" ht="15.75" thickTop="1">
      <c r="A28" s="21" t="s">
        <v>230</v>
      </c>
      <c r="B28" s="18"/>
      <c r="C28" s="18"/>
      <c r="D28" s="18"/>
      <c r="E28" s="18"/>
      <c r="F28" s="19">
        <v>20</v>
      </c>
      <c r="G28" s="115"/>
      <c r="H28" s="115"/>
    </row>
    <row r="29" spans="1:8" ht="15">
      <c r="A29" s="21" t="s">
        <v>231</v>
      </c>
      <c r="B29" s="18"/>
      <c r="C29" s="18"/>
      <c r="D29" s="18"/>
      <c r="E29" s="18"/>
      <c r="F29" s="19">
        <f>ROUND(F27*F28%,2)</f>
        <v>2854266.35</v>
      </c>
      <c r="G29" s="115"/>
      <c r="H29" s="115"/>
    </row>
    <row r="30" spans="1:8" ht="15">
      <c r="A30" s="21" t="s">
        <v>213</v>
      </c>
      <c r="B30" s="18"/>
      <c r="C30" s="18"/>
      <c r="D30" s="18"/>
      <c r="E30" s="18"/>
      <c r="F30" s="19">
        <v>20</v>
      </c>
      <c r="G30" s="115"/>
      <c r="H30" s="115"/>
    </row>
    <row r="31" spans="1:8" ht="15">
      <c r="A31" s="21" t="s">
        <v>232</v>
      </c>
      <c r="B31" s="18"/>
      <c r="C31" s="18"/>
      <c r="D31" s="18"/>
      <c r="E31" s="18"/>
      <c r="F31" s="19">
        <f>ROUND(F29/F30,2)</f>
        <v>142713.32</v>
      </c>
      <c r="G31" s="115">
        <f>F31</f>
        <v>142713.32</v>
      </c>
      <c r="H31" s="115"/>
    </row>
    <row r="32" spans="1:8" ht="15">
      <c r="A32" s="21" t="s">
        <v>233</v>
      </c>
      <c r="B32" s="18"/>
      <c r="C32" s="18"/>
      <c r="D32" s="18">
        <v>1272.6</v>
      </c>
      <c r="E32" s="220">
        <f>F26</f>
        <v>53.73</v>
      </c>
      <c r="F32" s="19">
        <f>ROUND(D32*E32%,2)</f>
        <v>683.77</v>
      </c>
      <c r="G32" s="115">
        <v>1272.6</v>
      </c>
      <c r="H32" s="115"/>
    </row>
    <row r="33" spans="1:8" ht="15.75" thickBot="1">
      <c r="A33" s="221" t="s">
        <v>234</v>
      </c>
      <c r="B33" s="216"/>
      <c r="C33" s="216"/>
      <c r="D33" s="216"/>
      <c r="E33" s="216"/>
      <c r="F33" s="213">
        <f>ROUND(F31/F32,2)</f>
        <v>208.72</v>
      </c>
      <c r="G33" s="115">
        <f>ROUND(G31/G32,2)</f>
        <v>112.14</v>
      </c>
      <c r="H33" s="115"/>
    </row>
    <row r="34" spans="1:8" ht="15.75" thickTop="1">
      <c r="A34" s="222"/>
      <c r="B34" s="222"/>
      <c r="C34" s="222"/>
      <c r="D34" s="222"/>
      <c r="E34" s="171"/>
      <c r="F34" s="171"/>
      <c r="G34" s="115"/>
      <c r="H34" s="115"/>
    </row>
    <row r="35" spans="1:8" ht="15.75" thickBot="1">
      <c r="A35" s="223"/>
      <c r="B35" s="223"/>
      <c r="C35" s="223"/>
      <c r="D35" s="223"/>
      <c r="E35" s="173"/>
      <c r="F35" s="173"/>
      <c r="G35" s="115"/>
      <c r="H35" s="115"/>
    </row>
    <row r="36" spans="1:8" ht="15.75" thickTop="1">
      <c r="A36" s="13" t="s">
        <v>227</v>
      </c>
      <c r="B36" s="14"/>
      <c r="C36" s="14"/>
      <c r="D36" s="14"/>
      <c r="E36" s="14"/>
      <c r="F36" s="114">
        <v>26561198.16</v>
      </c>
      <c r="G36" s="115"/>
      <c r="H36" s="115"/>
    </row>
    <row r="37" spans="1:8" ht="15">
      <c r="A37" s="21" t="s">
        <v>235</v>
      </c>
      <c r="B37" s="18"/>
      <c r="C37" s="18"/>
      <c r="D37" s="18"/>
      <c r="E37" s="18"/>
      <c r="F37" s="224">
        <v>20</v>
      </c>
      <c r="G37" s="115"/>
      <c r="H37" s="115"/>
    </row>
    <row r="38" spans="1:8" ht="15">
      <c r="A38" s="225" t="s">
        <v>236</v>
      </c>
      <c r="B38" s="18"/>
      <c r="C38" s="18"/>
      <c r="D38" s="18"/>
      <c r="E38" s="117"/>
      <c r="F38" s="19">
        <f>ROUND(F36*F37%,2)</f>
        <v>5312239.63</v>
      </c>
      <c r="G38" s="115"/>
      <c r="H38" s="115"/>
    </row>
    <row r="39" spans="1:6" ht="15">
      <c r="A39" s="225" t="s">
        <v>213</v>
      </c>
      <c r="B39" s="18"/>
      <c r="C39" s="18"/>
      <c r="D39" s="18"/>
      <c r="E39" s="18"/>
      <c r="F39" s="124">
        <v>20</v>
      </c>
    </row>
    <row r="40" spans="1:6" ht="15">
      <c r="A40" s="225" t="s">
        <v>237</v>
      </c>
      <c r="B40" s="18"/>
      <c r="C40" s="18"/>
      <c r="D40" s="18"/>
      <c r="E40" s="18"/>
      <c r="F40" s="19">
        <f>ROUND(F38/F39,2)</f>
        <v>265611.98</v>
      </c>
    </row>
    <row r="41" spans="1:6" ht="15">
      <c r="A41" s="225" t="s">
        <v>238</v>
      </c>
      <c r="B41" s="18"/>
      <c r="C41" s="18"/>
      <c r="D41" s="18"/>
      <c r="E41" s="18"/>
      <c r="F41" s="19">
        <v>1272.6</v>
      </c>
    </row>
    <row r="42" spans="1:6" ht="15.75" thickBot="1">
      <c r="A42" s="226" t="s">
        <v>239</v>
      </c>
      <c r="B42" s="24"/>
      <c r="C42" s="24"/>
      <c r="D42" s="24"/>
      <c r="E42" s="24"/>
      <c r="F42" s="25">
        <f>ROUND(F40/F41,2)</f>
        <v>208.72</v>
      </c>
    </row>
    <row r="43" ht="15.75" thickTop="1">
      <c r="F43" s="115"/>
    </row>
    <row r="44" ht="15.75" thickBot="1">
      <c r="F44" s="115"/>
    </row>
    <row r="45" spans="1:7" ht="15.75" thickTop="1">
      <c r="A45" s="13"/>
      <c r="B45" s="14" t="s">
        <v>240</v>
      </c>
      <c r="C45" s="14" t="s">
        <v>241</v>
      </c>
      <c r="D45" s="15" t="s">
        <v>242</v>
      </c>
      <c r="E45" s="227">
        <v>2013</v>
      </c>
      <c r="F45" s="227">
        <v>2014</v>
      </c>
      <c r="G45" s="228">
        <v>2015</v>
      </c>
    </row>
    <row r="46" spans="1:7" ht="15">
      <c r="A46" s="21" t="s">
        <v>243</v>
      </c>
      <c r="B46" s="18">
        <v>4</v>
      </c>
      <c r="C46" s="117">
        <v>85000</v>
      </c>
      <c r="D46" s="117">
        <f>ROUND(B46*C46,2)</f>
        <v>340000</v>
      </c>
      <c r="E46" s="117">
        <f>D46</f>
        <v>340000</v>
      </c>
      <c r="F46" s="117"/>
      <c r="G46" s="19"/>
    </row>
    <row r="47" spans="1:7" ht="15">
      <c r="A47" s="21" t="s">
        <v>244</v>
      </c>
      <c r="B47" s="18">
        <v>4</v>
      </c>
      <c r="C47" s="117">
        <v>8000</v>
      </c>
      <c r="D47" s="117">
        <f>ROUND(B47*C47,2)</f>
        <v>32000</v>
      </c>
      <c r="E47" s="117">
        <f>D47</f>
        <v>32000</v>
      </c>
      <c r="F47" s="117"/>
      <c r="G47" s="19"/>
    </row>
    <row r="48" spans="1:7" ht="15.75" thickBot="1">
      <c r="A48" s="23" t="s">
        <v>245</v>
      </c>
      <c r="B48" s="24">
        <v>6000</v>
      </c>
      <c r="C48" s="119">
        <v>85</v>
      </c>
      <c r="D48" s="184">
        <f>ROUND(B48*C48,2)</f>
        <v>510000</v>
      </c>
      <c r="E48" s="184">
        <v>170000</v>
      </c>
      <c r="F48" s="184">
        <v>170000</v>
      </c>
      <c r="G48" s="185">
        <v>170000</v>
      </c>
    </row>
    <row r="49" spans="1:7" ht="16.5" thickBot="1" thickTop="1">
      <c r="A49" s="3"/>
      <c r="B49" s="3"/>
      <c r="C49" s="63"/>
      <c r="D49" s="229" t="s">
        <v>95</v>
      </c>
      <c r="E49" s="230">
        <f>SUM(E46:E48)</f>
        <v>542000</v>
      </c>
      <c r="F49" s="230">
        <f>SUM(F46:F48)</f>
        <v>170000</v>
      </c>
      <c r="G49" s="230">
        <f>SUM(G46:G48)</f>
        <v>170000</v>
      </c>
    </row>
    <row r="50" spans="3:8" ht="16.5" thickBot="1" thickTop="1">
      <c r="C50" s="115"/>
      <c r="D50" s="115">
        <v>3</v>
      </c>
      <c r="E50" s="120">
        <v>1272.6</v>
      </c>
      <c r="F50" s="113">
        <v>1272.6</v>
      </c>
      <c r="G50" s="113">
        <v>1272.6</v>
      </c>
      <c r="H50" s="16" t="s">
        <v>246</v>
      </c>
    </row>
    <row r="51" spans="2:8" ht="16.5" thickBot="1" thickTop="1">
      <c r="B51" s="231" t="s">
        <v>247</v>
      </c>
      <c r="C51" s="232"/>
      <c r="D51" s="103">
        <f>ROUND(D48/D50,2)</f>
        <v>170000</v>
      </c>
      <c r="E51" s="21"/>
      <c r="F51" s="18"/>
      <c r="G51" s="18"/>
      <c r="H51" s="124"/>
    </row>
    <row r="52" spans="4:8" ht="16.5" thickBot="1" thickTop="1">
      <c r="D52" s="115">
        <f>D46+D47+D48</f>
        <v>882000</v>
      </c>
      <c r="E52" s="233">
        <f>ROUND(E49/E50,2)</f>
        <v>425.9</v>
      </c>
      <c r="F52" s="234">
        <f>ROUND(F49/F50,2)</f>
        <v>133.58</v>
      </c>
      <c r="G52" s="234">
        <f>ROUND(G49/G50,2)</f>
        <v>133.58</v>
      </c>
      <c r="H52" s="235" t="s">
        <v>248</v>
      </c>
    </row>
    <row r="53" ht="15.75" thickTop="1"/>
    <row r="54" spans="1:10" ht="15">
      <c r="A54" s="236"/>
      <c r="B54" s="236"/>
      <c r="C54" s="236"/>
      <c r="D54" s="236"/>
      <c r="E54" s="236"/>
      <c r="F54" s="236"/>
      <c r="G54" s="236"/>
      <c r="H54" s="236"/>
      <c r="I54" s="236"/>
      <c r="J54" s="236"/>
    </row>
    <row r="55" ht="15.75" thickBot="1">
      <c r="J55" s="236"/>
    </row>
    <row r="56" spans="1:10" ht="15.75" thickTop="1">
      <c r="A56" s="13" t="str">
        <f>A47</f>
        <v>Motocicletas</v>
      </c>
      <c r="B56" s="14" t="s">
        <v>249</v>
      </c>
      <c r="C56" s="14"/>
      <c r="D56" s="114">
        <f>C46</f>
        <v>85000</v>
      </c>
      <c r="E56" s="115"/>
      <c r="F56" s="115"/>
      <c r="J56" s="236"/>
    </row>
    <row r="57" spans="1:10" ht="15">
      <c r="A57" s="21" t="str">
        <f>A48</f>
        <v>Adequação fundiária(georreferenciamento)</v>
      </c>
      <c r="B57" s="18" t="s">
        <v>250</v>
      </c>
      <c r="C57" s="18"/>
      <c r="D57" s="19">
        <f>C47</f>
        <v>8000</v>
      </c>
      <c r="E57" s="115"/>
      <c r="F57" s="115"/>
      <c r="J57" s="236"/>
    </row>
    <row r="58" spans="1:10" ht="15.75" thickBot="1">
      <c r="A58" s="23"/>
      <c r="B58" s="24" t="s">
        <v>153</v>
      </c>
      <c r="C58" s="24"/>
      <c r="D58" s="25">
        <f>SUM(D56:D57)</f>
        <v>93000</v>
      </c>
      <c r="E58" s="115"/>
      <c r="F58" s="115"/>
      <c r="J58" s="236"/>
    </row>
    <row r="59" spans="2:10" ht="15.75" thickTop="1">
      <c r="B59" s="148" t="s">
        <v>251</v>
      </c>
      <c r="C59" s="14"/>
      <c r="D59" s="114">
        <v>10</v>
      </c>
      <c r="E59" s="120"/>
      <c r="F59" s="14"/>
      <c r="G59" s="121" t="s">
        <v>252</v>
      </c>
      <c r="H59" s="16" t="s">
        <v>212</v>
      </c>
      <c r="J59" s="236"/>
    </row>
    <row r="60" spans="2:10" ht="15.75" thickBot="1">
      <c r="B60" s="20" t="s">
        <v>253</v>
      </c>
      <c r="C60" s="237"/>
      <c r="D60" s="224">
        <f>ROUND(D58/D59,2)</f>
        <v>9300</v>
      </c>
      <c r="E60" s="238">
        <v>1</v>
      </c>
      <c r="F60" s="24"/>
      <c r="G60" s="119">
        <f>ROUND(D60/E60,2)</f>
        <v>9300</v>
      </c>
      <c r="H60" s="239">
        <v>0</v>
      </c>
      <c r="J60" s="236"/>
    </row>
    <row r="61" spans="2:10" ht="16.5" thickBot="1" thickTop="1">
      <c r="B61" s="240" t="s">
        <v>254</v>
      </c>
      <c r="C61" s="241"/>
      <c r="D61" s="242">
        <f>ROUND(D60/D58%,2)</f>
        <v>10</v>
      </c>
      <c r="E61" s="115"/>
      <c r="F61" s="115"/>
      <c r="J61" s="236"/>
    </row>
    <row r="62" spans="2:10" ht="16.5" thickBot="1" thickTop="1">
      <c r="B62" s="243"/>
      <c r="C62" s="243"/>
      <c r="D62" s="244"/>
      <c r="E62" s="115"/>
      <c r="F62" s="115"/>
      <c r="J62" s="236"/>
    </row>
    <row r="63" spans="2:10" ht="15.75" thickTop="1">
      <c r="B63" s="245" t="s">
        <v>255</v>
      </c>
      <c r="C63" s="246" t="s">
        <v>256</v>
      </c>
      <c r="D63" s="247" t="s">
        <v>257</v>
      </c>
      <c r="E63" s="121" t="s">
        <v>258</v>
      </c>
      <c r="F63" s="121" t="s">
        <v>259</v>
      </c>
      <c r="G63" s="121" t="s">
        <v>260</v>
      </c>
      <c r="H63" s="16" t="s">
        <v>212</v>
      </c>
      <c r="J63" s="236"/>
    </row>
    <row r="64" spans="2:10" ht="15">
      <c r="B64" s="248" t="s">
        <v>261</v>
      </c>
      <c r="C64" s="249">
        <v>1000</v>
      </c>
      <c r="D64" s="18">
        <v>7</v>
      </c>
      <c r="E64" s="18">
        <f>ROUND(C64/D64,2)</f>
        <v>142.86</v>
      </c>
      <c r="F64" s="18"/>
      <c r="G64" s="18">
        <v>12</v>
      </c>
      <c r="H64" s="124"/>
      <c r="J64" s="236"/>
    </row>
    <row r="65" spans="2:10" ht="15.75" thickBot="1">
      <c r="B65" s="240" t="s">
        <v>262</v>
      </c>
      <c r="C65" s="119">
        <v>2.2</v>
      </c>
      <c r="D65" s="119"/>
      <c r="E65" s="119"/>
      <c r="F65" s="119">
        <f>ROUND(C65*E64,2)</f>
        <v>314.29</v>
      </c>
      <c r="G65" s="119">
        <f>ROUND(F65*G64,2)</f>
        <v>3771.48</v>
      </c>
      <c r="H65" s="239">
        <f>G65</f>
        <v>3771.48</v>
      </c>
      <c r="J65" s="236"/>
    </row>
    <row r="66" spans="6:10" ht="16.5" thickBot="1" thickTop="1">
      <c r="F66" s="115"/>
      <c r="G66" s="115"/>
      <c r="H66" s="115"/>
      <c r="J66" s="236"/>
    </row>
    <row r="67" spans="2:10" ht="15.75" thickTop="1">
      <c r="B67" s="245" t="s">
        <v>263</v>
      </c>
      <c r="C67" s="246" t="s">
        <v>256</v>
      </c>
      <c r="D67" s="247" t="s">
        <v>257</v>
      </c>
      <c r="E67" s="121" t="s">
        <v>258</v>
      </c>
      <c r="F67" s="121" t="s">
        <v>259</v>
      </c>
      <c r="G67" s="121" t="s">
        <v>260</v>
      </c>
      <c r="H67" s="16" t="s">
        <v>212</v>
      </c>
      <c r="J67" s="236"/>
    </row>
    <row r="68" spans="2:10" ht="15">
      <c r="B68" s="248" t="s">
        <v>261</v>
      </c>
      <c r="C68" s="250">
        <v>1000</v>
      </c>
      <c r="D68" s="18">
        <v>23</v>
      </c>
      <c r="E68" s="18">
        <f>ROUND(C68/D68,2)</f>
        <v>43.48</v>
      </c>
      <c r="F68" s="18"/>
      <c r="G68" s="18">
        <v>12</v>
      </c>
      <c r="H68" s="124"/>
      <c r="J68" s="236"/>
    </row>
    <row r="69" spans="2:10" ht="15.75" thickBot="1">
      <c r="B69" s="240" t="s">
        <v>264</v>
      </c>
      <c r="C69" s="119">
        <v>2.8</v>
      </c>
      <c r="D69" s="119"/>
      <c r="E69" s="119"/>
      <c r="F69" s="119">
        <f>ROUND(C69*E68,2)</f>
        <v>121.74</v>
      </c>
      <c r="G69" s="119">
        <f>ROUND(F69*G68,2)</f>
        <v>1460.88</v>
      </c>
      <c r="H69" s="239">
        <f>G69</f>
        <v>1460.88</v>
      </c>
      <c r="J69" s="236"/>
    </row>
    <row r="70" spans="6:10" ht="16.5" thickBot="1" thickTop="1">
      <c r="F70" s="115"/>
      <c r="G70" s="115"/>
      <c r="H70" s="115"/>
      <c r="J70" s="236"/>
    </row>
    <row r="71" spans="1:10" ht="15.75" thickTop="1">
      <c r="A71" s="13"/>
      <c r="B71" s="113"/>
      <c r="C71" s="14"/>
      <c r="D71" s="14"/>
      <c r="E71" s="121" t="s">
        <v>260</v>
      </c>
      <c r="F71" s="15" t="s">
        <v>265</v>
      </c>
      <c r="G71" s="121" t="s">
        <v>266</v>
      </c>
      <c r="H71" s="122" t="s">
        <v>267</v>
      </c>
      <c r="J71" s="236"/>
    </row>
    <row r="72" spans="1:10" ht="15">
      <c r="A72" s="21"/>
      <c r="B72" s="118" t="s">
        <v>268</v>
      </c>
      <c r="C72" s="116" t="s">
        <v>269</v>
      </c>
      <c r="D72" s="18"/>
      <c r="E72" s="117">
        <v>12</v>
      </c>
      <c r="F72" s="18"/>
      <c r="G72" s="117"/>
      <c r="H72" s="19"/>
      <c r="J72" s="236"/>
    </row>
    <row r="73" spans="1:10" ht="15">
      <c r="A73" s="20" t="s">
        <v>270</v>
      </c>
      <c r="B73" s="117">
        <v>2700</v>
      </c>
      <c r="C73" s="251">
        <v>1</v>
      </c>
      <c r="D73" s="18">
        <f>ROUND(B73*C73,2)</f>
        <v>2700</v>
      </c>
      <c r="E73" s="117">
        <f>ROUND(D73*E72,2)</f>
        <v>32400</v>
      </c>
      <c r="F73" s="18">
        <v>20</v>
      </c>
      <c r="G73" s="117">
        <f>ROUND(E73*F73%,2)</f>
        <v>6480</v>
      </c>
      <c r="H73" s="19">
        <f>G73</f>
        <v>6480</v>
      </c>
      <c r="J73" s="236"/>
    </row>
    <row r="74" spans="1:10" ht="15">
      <c r="A74" s="22" t="s">
        <v>271</v>
      </c>
      <c r="B74" s="117">
        <v>1500</v>
      </c>
      <c r="C74" s="251">
        <v>1</v>
      </c>
      <c r="D74" s="18">
        <f>ROUND(B74*C74,2)</f>
        <v>1500</v>
      </c>
      <c r="E74" s="117">
        <f>ROUND(D74*E72,2)</f>
        <v>18000</v>
      </c>
      <c r="F74" s="18">
        <v>100</v>
      </c>
      <c r="G74" s="117">
        <f>ROUND(E74*F74%,2)</f>
        <v>18000</v>
      </c>
      <c r="H74" s="19">
        <f>G74</f>
        <v>18000</v>
      </c>
      <c r="J74" s="236"/>
    </row>
    <row r="75" spans="1:10" ht="15">
      <c r="A75" s="22" t="s">
        <v>272</v>
      </c>
      <c r="B75" s="117">
        <v>9500</v>
      </c>
      <c r="C75" s="251">
        <v>1</v>
      </c>
      <c r="D75" s="18">
        <f>ROUND(B75*C75,2)</f>
        <v>9500</v>
      </c>
      <c r="E75" s="117">
        <f>ROUND(D75*E72,2)</f>
        <v>114000</v>
      </c>
      <c r="F75" s="18">
        <v>10</v>
      </c>
      <c r="G75" s="117">
        <f>ROUND(E75*F75%,2)</f>
        <v>11400</v>
      </c>
      <c r="H75" s="19">
        <f>G75</f>
        <v>11400</v>
      </c>
      <c r="J75" s="236"/>
    </row>
    <row r="76" spans="1:10" ht="15.75" thickBot="1">
      <c r="A76" s="23"/>
      <c r="B76" s="24"/>
      <c r="C76" s="24"/>
      <c r="D76" s="24"/>
      <c r="E76" s="24"/>
      <c r="F76" s="24"/>
      <c r="G76" s="24"/>
      <c r="H76" s="25">
        <f>SUM(H73:H75)</f>
        <v>35880</v>
      </c>
      <c r="J76" s="236"/>
    </row>
    <row r="77" ht="16.5" thickBot="1" thickTop="1">
      <c r="J77" s="236"/>
    </row>
    <row r="78" spans="2:10" ht="16.5" thickBot="1" thickTop="1">
      <c r="B78" s="187"/>
      <c r="C78" s="252"/>
      <c r="D78" s="252"/>
      <c r="E78" s="252"/>
      <c r="F78" s="252"/>
      <c r="G78" s="253" t="s">
        <v>51</v>
      </c>
      <c r="H78" s="103">
        <f>H60+H65+H69+H76</f>
        <v>41112.36</v>
      </c>
      <c r="I78" s="432" t="s">
        <v>325</v>
      </c>
      <c r="J78" s="236"/>
    </row>
    <row r="79" spans="6:10" ht="16.5" thickBot="1" thickTop="1">
      <c r="F79" s="148" t="s">
        <v>273</v>
      </c>
      <c r="G79" s="14"/>
      <c r="H79" s="114">
        <v>1272.6</v>
      </c>
      <c r="I79" s="433">
        <v>27.783</v>
      </c>
      <c r="J79" s="236"/>
    </row>
    <row r="80" spans="6:11" ht="16.5" thickBot="1" thickTop="1">
      <c r="F80" s="254" t="s">
        <v>274</v>
      </c>
      <c r="G80" s="255"/>
      <c r="H80" s="134">
        <f>ROUND(H78/H79,2)</f>
        <v>32.31</v>
      </c>
      <c r="I80" s="275">
        <f>ROUND(H80*I79%,2)+H80</f>
        <v>41.290000000000006</v>
      </c>
      <c r="J80" s="236"/>
      <c r="K80">
        <v>32.31</v>
      </c>
    </row>
    <row r="81" spans="10:11" ht="15.75" thickTop="1">
      <c r="J81" s="236"/>
      <c r="K81">
        <v>27.78</v>
      </c>
    </row>
    <row r="82" spans="1:11" ht="15">
      <c r="A82" s="236"/>
      <c r="B82" s="236"/>
      <c r="C82" s="236"/>
      <c r="D82" s="236"/>
      <c r="E82" s="236"/>
      <c r="F82" s="236"/>
      <c r="G82" s="236"/>
      <c r="H82" s="236"/>
      <c r="J82" s="236"/>
      <c r="K82">
        <f>ROUND(K80*K81%,2)+K80</f>
        <v>41.290000000000006</v>
      </c>
    </row>
    <row r="83" ht="15.75" thickBot="1">
      <c r="J83" s="236"/>
    </row>
    <row r="84" spans="1:10" ht="15.75" thickTop="1">
      <c r="A84" s="13" t="s">
        <v>275</v>
      </c>
      <c r="B84" s="113"/>
      <c r="C84" s="14"/>
      <c r="D84" s="14"/>
      <c r="E84" s="121" t="s">
        <v>260</v>
      </c>
      <c r="F84" s="15" t="s">
        <v>265</v>
      </c>
      <c r="G84" s="121" t="s">
        <v>266</v>
      </c>
      <c r="H84" s="122" t="s">
        <v>267</v>
      </c>
      <c r="J84" s="236"/>
    </row>
    <row r="85" spans="1:10" ht="15">
      <c r="A85" s="21"/>
      <c r="B85" s="118" t="s">
        <v>268</v>
      </c>
      <c r="C85" s="116" t="s">
        <v>269</v>
      </c>
      <c r="D85" s="18"/>
      <c r="E85" s="117">
        <v>12</v>
      </c>
      <c r="F85" s="18"/>
      <c r="G85" s="117"/>
      <c r="H85" s="19"/>
      <c r="J85" s="236"/>
    </row>
    <row r="86" spans="1:10" ht="15">
      <c r="A86" s="20" t="s">
        <v>276</v>
      </c>
      <c r="B86" s="117">
        <v>80</v>
      </c>
      <c r="C86" s="251">
        <v>1</v>
      </c>
      <c r="D86" s="18">
        <f>ROUND(B86*C86,2)</f>
        <v>80</v>
      </c>
      <c r="E86" s="117">
        <f>ROUND(D86*E85,2)</f>
        <v>960</v>
      </c>
      <c r="F86" s="18">
        <v>100</v>
      </c>
      <c r="G86" s="117">
        <f>ROUND(E86*F86%,2)</f>
        <v>960</v>
      </c>
      <c r="H86" s="19">
        <f>G86</f>
        <v>960</v>
      </c>
      <c r="J86" s="236"/>
    </row>
    <row r="87" spans="1:10" ht="15.75" thickBot="1">
      <c r="A87" s="23"/>
      <c r="B87" s="24"/>
      <c r="C87" s="24"/>
      <c r="D87" s="24"/>
      <c r="E87" s="24"/>
      <c r="F87" s="24"/>
      <c r="G87" s="24"/>
      <c r="H87" s="25">
        <f>SUM(H86:H86)</f>
        <v>960</v>
      </c>
      <c r="J87" s="236"/>
    </row>
    <row r="88" ht="16.5" thickBot="1" thickTop="1">
      <c r="J88" s="236"/>
    </row>
    <row r="89" spans="2:10" ht="16.5" thickBot="1" thickTop="1">
      <c r="B89" s="187"/>
      <c r="C89" s="252"/>
      <c r="D89" s="252"/>
      <c r="E89" s="252"/>
      <c r="F89" s="252"/>
      <c r="G89" s="253" t="s">
        <v>51</v>
      </c>
      <c r="H89" s="103">
        <f>H87</f>
        <v>960</v>
      </c>
      <c r="J89" s="236"/>
    </row>
    <row r="90" spans="1:10" ht="15.75" thickTop="1">
      <c r="A90" s="215" t="s">
        <v>277</v>
      </c>
      <c r="B90" s="115">
        <v>678</v>
      </c>
      <c r="F90" s="148" t="s">
        <v>273</v>
      </c>
      <c r="G90" s="14"/>
      <c r="H90" s="114">
        <v>1272.6</v>
      </c>
      <c r="J90" s="236"/>
    </row>
    <row r="91" spans="6:10" ht="15.75" thickBot="1">
      <c r="F91" s="254" t="s">
        <v>274</v>
      </c>
      <c r="G91" s="255"/>
      <c r="H91" s="134">
        <f>ROUND(H89/H90,2)</f>
        <v>0.75</v>
      </c>
      <c r="J91" s="236"/>
    </row>
    <row r="92" ht="15.75" thickTop="1">
      <c r="J92" s="236"/>
    </row>
    <row r="93" ht="15">
      <c r="J93" s="236"/>
    </row>
    <row r="94" spans="1:10" ht="15">
      <c r="A94" s="236"/>
      <c r="B94" s="236"/>
      <c r="C94" s="236"/>
      <c r="D94" s="236"/>
      <c r="E94" s="236"/>
      <c r="F94" s="236"/>
      <c r="G94" s="236"/>
      <c r="H94" s="236"/>
      <c r="I94" s="236"/>
      <c r="J94" s="236"/>
    </row>
    <row r="96" ht="15">
      <c r="A96" s="434" t="s">
        <v>390</v>
      </c>
    </row>
    <row r="98" spans="2:19" ht="15.75" thickBot="1">
      <c r="B98" s="215" t="s">
        <v>278</v>
      </c>
      <c r="F98" s="206"/>
      <c r="O98" s="215" t="s">
        <v>278</v>
      </c>
      <c r="S98" s="206"/>
    </row>
    <row r="99" spans="1:20" ht="16.5" thickBot="1" thickTop="1">
      <c r="A99" s="282"/>
      <c r="B99" s="333" t="s">
        <v>330</v>
      </c>
      <c r="C99" s="334" t="s">
        <v>331</v>
      </c>
      <c r="D99" s="335" t="s">
        <v>332</v>
      </c>
      <c r="E99" s="335" t="s">
        <v>280</v>
      </c>
      <c r="F99" s="334" t="s">
        <v>333</v>
      </c>
      <c r="G99" s="336" t="s">
        <v>334</v>
      </c>
      <c r="I99" s="148" t="s">
        <v>281</v>
      </c>
      <c r="J99" s="14"/>
      <c r="K99" s="16" t="s">
        <v>279</v>
      </c>
      <c r="L99" s="256" t="s">
        <v>282</v>
      </c>
      <c r="N99" s="287"/>
      <c r="O99" s="288" t="s">
        <v>330</v>
      </c>
      <c r="P99" s="289" t="s">
        <v>331</v>
      </c>
      <c r="Q99" s="290" t="s">
        <v>332</v>
      </c>
      <c r="R99" s="290" t="s">
        <v>280</v>
      </c>
      <c r="S99" s="289" t="s">
        <v>333</v>
      </c>
      <c r="T99" s="291" t="s">
        <v>334</v>
      </c>
    </row>
    <row r="100" spans="1:20" ht="15">
      <c r="A100" s="283" t="s">
        <v>335</v>
      </c>
      <c r="B100" s="277" t="s">
        <v>283</v>
      </c>
      <c r="C100" s="42">
        <f>K100</f>
        <v>74.3</v>
      </c>
      <c r="D100" s="42">
        <v>17</v>
      </c>
      <c r="E100" s="42">
        <f>ROUND(C100*D100,2)</f>
        <v>1263.1</v>
      </c>
      <c r="F100" s="42">
        <f>anoPlantio!B12</f>
        <v>1085.17</v>
      </c>
      <c r="G100" s="43">
        <f>ROUND(E100*F100,2)</f>
        <v>1370678.23</v>
      </c>
      <c r="H100" s="115"/>
      <c r="I100" s="123">
        <v>105.51</v>
      </c>
      <c r="J100" s="117">
        <v>1.42</v>
      </c>
      <c r="K100" s="19">
        <f>ROUND(I100/J100,2)</f>
        <v>74.3</v>
      </c>
      <c r="L100" s="257">
        <f>ROUND(D100/J100,2)</f>
        <v>11.97</v>
      </c>
      <c r="N100" s="292" t="s">
        <v>335</v>
      </c>
      <c r="O100" s="293" t="s">
        <v>283</v>
      </c>
      <c r="P100" s="294">
        <f>C100</f>
        <v>74.3</v>
      </c>
      <c r="Q100" s="294">
        <f aca="true" t="shared" si="0" ref="Q100:S103">D100</f>
        <v>17</v>
      </c>
      <c r="R100" s="294">
        <f t="shared" si="0"/>
        <v>1263.1</v>
      </c>
      <c r="S100" s="294">
        <f t="shared" si="0"/>
        <v>1085.17</v>
      </c>
      <c r="T100" s="295">
        <f>ROUND(R100*S100,2)</f>
        <v>1370678.23</v>
      </c>
    </row>
    <row r="101" spans="1:20" ht="15">
      <c r="A101" s="283"/>
      <c r="B101" s="277" t="s">
        <v>284</v>
      </c>
      <c r="C101" s="42">
        <f>K101</f>
        <v>8</v>
      </c>
      <c r="D101" s="42">
        <v>31</v>
      </c>
      <c r="E101" s="42">
        <f>ROUND(C101*D101,2)</f>
        <v>248</v>
      </c>
      <c r="F101" s="42">
        <f>F100</f>
        <v>1085.17</v>
      </c>
      <c r="G101" s="43">
        <f aca="true" t="shared" si="1" ref="G101:G115">ROUND(E101*F101,2)</f>
        <v>269122.16</v>
      </c>
      <c r="H101" s="115"/>
      <c r="I101" s="123">
        <v>11.36</v>
      </c>
      <c r="J101" s="117">
        <v>1.42</v>
      </c>
      <c r="K101" s="19">
        <f>ROUND(I101/J101,2)</f>
        <v>8</v>
      </c>
      <c r="L101" s="257">
        <f>ROUND(D101/J101,2)</f>
        <v>21.83</v>
      </c>
      <c r="N101" s="296"/>
      <c r="O101" s="297" t="s">
        <v>284</v>
      </c>
      <c r="P101" s="298">
        <f>C101</f>
        <v>8</v>
      </c>
      <c r="Q101" s="298">
        <f t="shared" si="0"/>
        <v>31</v>
      </c>
      <c r="R101" s="298">
        <f t="shared" si="0"/>
        <v>248</v>
      </c>
      <c r="S101" s="298">
        <f t="shared" si="0"/>
        <v>1085.17</v>
      </c>
      <c r="T101" s="299">
        <f>ROUND(R101*S101,2)</f>
        <v>269122.16</v>
      </c>
    </row>
    <row r="102" spans="1:20" ht="15">
      <c r="A102" s="283"/>
      <c r="B102" s="277" t="s">
        <v>285</v>
      </c>
      <c r="C102" s="42">
        <f>K102</f>
        <v>0</v>
      </c>
      <c r="D102" s="42">
        <v>49</v>
      </c>
      <c r="E102" s="42">
        <f>ROUND(C102*D102,2)</f>
        <v>0</v>
      </c>
      <c r="F102" s="42">
        <f>F101</f>
        <v>1085.17</v>
      </c>
      <c r="G102" s="43">
        <f t="shared" si="1"/>
        <v>0</v>
      </c>
      <c r="H102" s="115"/>
      <c r="I102" s="123"/>
      <c r="J102" s="117">
        <v>1.42</v>
      </c>
      <c r="K102" s="19"/>
      <c r="L102" s="257">
        <f>ROUND(D102/J102,2)</f>
        <v>34.51</v>
      </c>
      <c r="N102" s="296"/>
      <c r="O102" s="297" t="s">
        <v>285</v>
      </c>
      <c r="P102" s="298">
        <f>C102</f>
        <v>0</v>
      </c>
      <c r="Q102" s="298">
        <f t="shared" si="0"/>
        <v>49</v>
      </c>
      <c r="R102" s="298">
        <f t="shared" si="0"/>
        <v>0</v>
      </c>
      <c r="S102" s="298">
        <f t="shared" si="0"/>
        <v>1085.17</v>
      </c>
      <c r="T102" s="299">
        <f>ROUND(R102*S102,2)</f>
        <v>0</v>
      </c>
    </row>
    <row r="103" spans="1:20" ht="15">
      <c r="A103" s="283"/>
      <c r="B103" s="277" t="s">
        <v>286</v>
      </c>
      <c r="C103" s="42">
        <f>K103</f>
        <v>0</v>
      </c>
      <c r="D103" s="42">
        <v>64</v>
      </c>
      <c r="E103" s="42">
        <f>ROUND(C103*D103,2)</f>
        <v>0</v>
      </c>
      <c r="F103" s="42">
        <f>F102</f>
        <v>1085.17</v>
      </c>
      <c r="G103" s="43">
        <f t="shared" si="1"/>
        <v>0</v>
      </c>
      <c r="H103" s="115"/>
      <c r="I103" s="123"/>
      <c r="J103" s="117">
        <v>1.42</v>
      </c>
      <c r="K103" s="19"/>
      <c r="L103" s="257">
        <f>ROUND(D103/J103,2)</f>
        <v>45.07</v>
      </c>
      <c r="N103" s="296"/>
      <c r="O103" s="297" t="s">
        <v>286</v>
      </c>
      <c r="P103" s="298">
        <f>C103</f>
        <v>0</v>
      </c>
      <c r="Q103" s="298">
        <f t="shared" si="0"/>
        <v>64</v>
      </c>
      <c r="R103" s="298">
        <f t="shared" si="0"/>
        <v>0</v>
      </c>
      <c r="S103" s="298">
        <f t="shared" si="0"/>
        <v>1085.17</v>
      </c>
      <c r="T103" s="299">
        <f>ROUND(R103*S103,2)</f>
        <v>0</v>
      </c>
    </row>
    <row r="104" spans="1:20" ht="15.75" thickBot="1">
      <c r="A104" s="286"/>
      <c r="B104" s="278"/>
      <c r="C104" s="59">
        <f>SUM(C100:C103)</f>
        <v>82.3</v>
      </c>
      <c r="D104" s="59"/>
      <c r="E104" s="59"/>
      <c r="F104" s="59"/>
      <c r="G104" s="279">
        <f>SUM(G100:G103)</f>
        <v>1639800.39</v>
      </c>
      <c r="H104" s="115"/>
      <c r="I104" s="123">
        <f>SUM(I100:I103)</f>
        <v>116.87</v>
      </c>
      <c r="J104" s="117"/>
      <c r="K104" s="19">
        <f>SUM(K100:K103)</f>
        <v>82.3</v>
      </c>
      <c r="L104" s="257"/>
      <c r="N104" s="300"/>
      <c r="O104" s="301"/>
      <c r="P104" s="302">
        <f>SUM(P100:P103)</f>
        <v>82.3</v>
      </c>
      <c r="Q104" s="302"/>
      <c r="R104" s="302"/>
      <c r="S104" s="302"/>
      <c r="T104" s="303">
        <f>SUM(T100:T103)</f>
        <v>1639800.39</v>
      </c>
    </row>
    <row r="105" spans="1:20" ht="15">
      <c r="A105" s="285"/>
      <c r="B105" s="280"/>
      <c r="C105" s="34"/>
      <c r="D105" s="34"/>
      <c r="E105" s="34"/>
      <c r="F105" s="34"/>
      <c r="G105" s="35"/>
      <c r="H105" s="115"/>
      <c r="I105" s="123"/>
      <c r="J105" s="117"/>
      <c r="K105" s="19"/>
      <c r="L105" s="257"/>
      <c r="N105" s="292"/>
      <c r="O105" s="293"/>
      <c r="P105" s="294"/>
      <c r="Q105" s="294"/>
      <c r="R105" s="294"/>
      <c r="S105" s="294"/>
      <c r="T105" s="295"/>
    </row>
    <row r="106" spans="1:20" ht="15">
      <c r="A106" s="283" t="s">
        <v>336</v>
      </c>
      <c r="B106" s="277" t="s">
        <v>283</v>
      </c>
      <c r="C106" s="42">
        <f>K106</f>
        <v>76.4</v>
      </c>
      <c r="D106" s="42">
        <v>17</v>
      </c>
      <c r="E106" s="42">
        <f>ROUND(C106*D106,2)</f>
        <v>1298.8</v>
      </c>
      <c r="F106" s="42">
        <f>F100</f>
        <v>1085.17</v>
      </c>
      <c r="G106" s="43">
        <f t="shared" si="1"/>
        <v>1409418.8</v>
      </c>
      <c r="H106" s="115"/>
      <c r="I106" s="123">
        <v>108.49</v>
      </c>
      <c r="J106" s="117">
        <v>1.42</v>
      </c>
      <c r="K106" s="19">
        <f>ROUND(I106/J106,2)</f>
        <v>76.4</v>
      </c>
      <c r="L106" s="257">
        <f>ROUND(D106/J106,2)</f>
        <v>11.97</v>
      </c>
      <c r="N106" s="296" t="s">
        <v>336</v>
      </c>
      <c r="O106" s="297" t="s">
        <v>283</v>
      </c>
      <c r="P106" s="298">
        <f>C106</f>
        <v>76.4</v>
      </c>
      <c r="Q106" s="298">
        <f aca="true" t="shared" si="2" ref="Q106:S109">D106</f>
        <v>17</v>
      </c>
      <c r="R106" s="298">
        <f t="shared" si="2"/>
        <v>1298.8</v>
      </c>
      <c r="S106" s="298">
        <f t="shared" si="2"/>
        <v>1085.17</v>
      </c>
      <c r="T106" s="299">
        <f>ROUND(R106*S106,2)</f>
        <v>1409418.8</v>
      </c>
    </row>
    <row r="107" spans="1:20" ht="15">
      <c r="A107" s="283"/>
      <c r="B107" s="277" t="s">
        <v>284</v>
      </c>
      <c r="C107" s="42">
        <f>K107</f>
        <v>82</v>
      </c>
      <c r="D107" s="42">
        <v>31</v>
      </c>
      <c r="E107" s="42">
        <f>ROUND(C107*D107,2)</f>
        <v>2542</v>
      </c>
      <c r="F107" s="42">
        <f>F106</f>
        <v>1085.17</v>
      </c>
      <c r="G107" s="43">
        <f t="shared" si="1"/>
        <v>2758502.14</v>
      </c>
      <c r="H107" s="115"/>
      <c r="I107" s="123">
        <v>116.44</v>
      </c>
      <c r="J107" s="117">
        <v>1.42</v>
      </c>
      <c r="K107" s="19">
        <f>ROUND(I107/J107,2)</f>
        <v>82</v>
      </c>
      <c r="L107" s="257">
        <f>ROUND(D107/J107,2)</f>
        <v>21.83</v>
      </c>
      <c r="N107" s="296"/>
      <c r="O107" s="297" t="s">
        <v>284</v>
      </c>
      <c r="P107" s="298">
        <f>C107</f>
        <v>82</v>
      </c>
      <c r="Q107" s="298">
        <f t="shared" si="2"/>
        <v>31</v>
      </c>
      <c r="R107" s="298">
        <f t="shared" si="2"/>
        <v>2542</v>
      </c>
      <c r="S107" s="298">
        <f t="shared" si="2"/>
        <v>1085.17</v>
      </c>
      <c r="T107" s="299">
        <f>ROUND(R107*S107,2)</f>
        <v>2758502.14</v>
      </c>
    </row>
    <row r="108" spans="1:20" ht="15">
      <c r="A108" s="283"/>
      <c r="B108" s="277" t="s">
        <v>285</v>
      </c>
      <c r="C108" s="42">
        <f>K108</f>
        <v>11.5</v>
      </c>
      <c r="D108" s="42">
        <v>49</v>
      </c>
      <c r="E108" s="42">
        <f>ROUND(C108*D108,2)</f>
        <v>563.5</v>
      </c>
      <c r="F108" s="42">
        <f>F107</f>
        <v>1085.17</v>
      </c>
      <c r="G108" s="43">
        <f t="shared" si="1"/>
        <v>611493.3</v>
      </c>
      <c r="H108" s="115"/>
      <c r="I108" s="123">
        <v>16.33</v>
      </c>
      <c r="J108" s="117">
        <v>1.42</v>
      </c>
      <c r="K108" s="19">
        <f>ROUND(I108/J108,2)</f>
        <v>11.5</v>
      </c>
      <c r="L108" s="257">
        <f>ROUND(D108/J108,2)</f>
        <v>34.51</v>
      </c>
      <c r="N108" s="296"/>
      <c r="O108" s="297" t="s">
        <v>285</v>
      </c>
      <c r="P108" s="298">
        <f>C108</f>
        <v>11.5</v>
      </c>
      <c r="Q108" s="298">
        <f t="shared" si="2"/>
        <v>49</v>
      </c>
      <c r="R108" s="298">
        <f t="shared" si="2"/>
        <v>563.5</v>
      </c>
      <c r="S108" s="298">
        <f t="shared" si="2"/>
        <v>1085.17</v>
      </c>
      <c r="T108" s="299">
        <f>ROUND(R108*S108,2)</f>
        <v>611493.3</v>
      </c>
    </row>
    <row r="109" spans="1:20" ht="15">
      <c r="A109" s="283"/>
      <c r="B109" s="277" t="s">
        <v>286</v>
      </c>
      <c r="C109" s="42">
        <f>K109</f>
        <v>0</v>
      </c>
      <c r="D109" s="42">
        <v>64</v>
      </c>
      <c r="E109" s="42">
        <f>ROUND(C109*D109,2)</f>
        <v>0</v>
      </c>
      <c r="F109" s="42">
        <f>F108</f>
        <v>1085.17</v>
      </c>
      <c r="G109" s="43">
        <f t="shared" si="1"/>
        <v>0</v>
      </c>
      <c r="H109" s="115"/>
      <c r="I109" s="123">
        <v>0</v>
      </c>
      <c r="J109" s="117">
        <v>1.42</v>
      </c>
      <c r="K109" s="19"/>
      <c r="L109" s="257">
        <f>ROUND(D109/J109,2)</f>
        <v>45.07</v>
      </c>
      <c r="N109" s="296"/>
      <c r="O109" s="297" t="s">
        <v>286</v>
      </c>
      <c r="P109" s="298">
        <f>C109</f>
        <v>0</v>
      </c>
      <c r="Q109" s="298">
        <f t="shared" si="2"/>
        <v>64</v>
      </c>
      <c r="R109" s="298">
        <f t="shared" si="2"/>
        <v>0</v>
      </c>
      <c r="S109" s="298">
        <f t="shared" si="2"/>
        <v>1085.17</v>
      </c>
      <c r="T109" s="299">
        <f>ROUND(R109*S109,2)</f>
        <v>0</v>
      </c>
    </row>
    <row r="110" spans="1:20" ht="15.75" thickBot="1">
      <c r="A110" s="286"/>
      <c r="B110" s="278"/>
      <c r="C110" s="59">
        <f>SUM(C106:C109)</f>
        <v>169.9</v>
      </c>
      <c r="D110" s="59"/>
      <c r="E110" s="59"/>
      <c r="F110" s="59"/>
      <c r="G110" s="279">
        <f>SUM(G106:G109)</f>
        <v>4779414.24</v>
      </c>
      <c r="H110" s="115"/>
      <c r="I110" s="123">
        <f>SUM(I106:I109)</f>
        <v>241.26</v>
      </c>
      <c r="J110" s="117"/>
      <c r="K110" s="19">
        <f>SUM(K106:K109)</f>
        <v>169.9</v>
      </c>
      <c r="L110" s="257"/>
      <c r="N110" s="300"/>
      <c r="O110" s="301"/>
      <c r="P110" s="302">
        <f>SUM(P106:P109)</f>
        <v>169.9</v>
      </c>
      <c r="Q110" s="302"/>
      <c r="R110" s="302"/>
      <c r="S110" s="302"/>
      <c r="T110" s="303">
        <f>SUM(T106:T109)</f>
        <v>4779414.24</v>
      </c>
    </row>
    <row r="111" spans="1:20" ht="15">
      <c r="A111" s="283"/>
      <c r="B111" s="277"/>
      <c r="C111" s="42"/>
      <c r="D111" s="42"/>
      <c r="E111" s="42"/>
      <c r="F111" s="42"/>
      <c r="G111" s="43"/>
      <c r="H111" s="115"/>
      <c r="I111" s="123"/>
      <c r="J111" s="117"/>
      <c r="K111" s="19"/>
      <c r="L111" s="257"/>
      <c r="N111" s="292"/>
      <c r="O111" s="293"/>
      <c r="P111" s="294"/>
      <c r="Q111" s="294"/>
      <c r="R111" s="294"/>
      <c r="S111" s="294"/>
      <c r="T111" s="295"/>
    </row>
    <row r="112" spans="1:20" ht="15">
      <c r="A112" s="283"/>
      <c r="B112" s="277" t="s">
        <v>283</v>
      </c>
      <c r="C112" s="42">
        <f>K112</f>
        <v>45.41</v>
      </c>
      <c r="D112" s="42">
        <v>17</v>
      </c>
      <c r="E112" s="42">
        <f>ROUND(C112*D112,2)</f>
        <v>771.97</v>
      </c>
      <c r="F112" s="42">
        <f>F100</f>
        <v>1085.17</v>
      </c>
      <c r="G112" s="43">
        <f t="shared" si="1"/>
        <v>837718.68</v>
      </c>
      <c r="H112" s="115"/>
      <c r="I112" s="123">
        <v>64.48</v>
      </c>
      <c r="J112" s="117">
        <v>1.42</v>
      </c>
      <c r="K112" s="19">
        <f>ROUND(I112/J112,2)</f>
        <v>45.41</v>
      </c>
      <c r="L112" s="257">
        <f>ROUND(D112/J112,2)</f>
        <v>11.97</v>
      </c>
      <c r="N112" s="296"/>
      <c r="O112" s="297" t="s">
        <v>283</v>
      </c>
      <c r="P112" s="298">
        <f>C112</f>
        <v>45.41</v>
      </c>
      <c r="Q112" s="298">
        <f aca="true" t="shared" si="3" ref="Q112:S115">D112</f>
        <v>17</v>
      </c>
      <c r="R112" s="298">
        <f t="shared" si="3"/>
        <v>771.97</v>
      </c>
      <c r="S112" s="298">
        <f t="shared" si="3"/>
        <v>1085.17</v>
      </c>
      <c r="T112" s="299">
        <f>ROUND(R112*S112,2)</f>
        <v>837718.68</v>
      </c>
    </row>
    <row r="113" spans="1:20" ht="15">
      <c r="A113" s="283" t="s">
        <v>337</v>
      </c>
      <c r="B113" s="277" t="s">
        <v>284</v>
      </c>
      <c r="C113" s="42">
        <f>K113</f>
        <v>131.1</v>
      </c>
      <c r="D113" s="42">
        <v>31</v>
      </c>
      <c r="E113" s="42">
        <f>ROUND(C113*D113,2)</f>
        <v>4064.1</v>
      </c>
      <c r="F113" s="42">
        <f>F112</f>
        <v>1085.17</v>
      </c>
      <c r="G113" s="43">
        <f t="shared" si="1"/>
        <v>4410239.4</v>
      </c>
      <c r="H113" s="115"/>
      <c r="I113" s="123">
        <v>186.16</v>
      </c>
      <c r="J113" s="117">
        <v>1.42</v>
      </c>
      <c r="K113" s="19">
        <f>ROUND(I113/J113,2)</f>
        <v>131.1</v>
      </c>
      <c r="L113" s="257">
        <f>ROUND(D113/J113,2)</f>
        <v>21.83</v>
      </c>
      <c r="N113" s="296" t="s">
        <v>337</v>
      </c>
      <c r="O113" s="297" t="s">
        <v>284</v>
      </c>
      <c r="P113" s="298">
        <f>C113</f>
        <v>131.1</v>
      </c>
      <c r="Q113" s="298">
        <f t="shared" si="3"/>
        <v>31</v>
      </c>
      <c r="R113" s="298">
        <f t="shared" si="3"/>
        <v>4064.1</v>
      </c>
      <c r="S113" s="298">
        <f t="shared" si="3"/>
        <v>1085.17</v>
      </c>
      <c r="T113" s="299">
        <f>ROUND(R113*S113,2)</f>
        <v>4410239.4</v>
      </c>
    </row>
    <row r="114" spans="1:20" ht="15">
      <c r="A114" s="283"/>
      <c r="B114" s="277" t="s">
        <v>285</v>
      </c>
      <c r="C114" s="42">
        <f>K114</f>
        <v>143</v>
      </c>
      <c r="D114" s="42">
        <v>49</v>
      </c>
      <c r="E114" s="42">
        <f>ROUND(C114*D114,2)</f>
        <v>7007</v>
      </c>
      <c r="F114" s="42">
        <f>F113</f>
        <v>1085.17</v>
      </c>
      <c r="G114" s="43">
        <f t="shared" si="1"/>
        <v>7603786.19</v>
      </c>
      <c r="H114" s="115"/>
      <c r="I114" s="123">
        <v>203.06</v>
      </c>
      <c r="J114" s="117">
        <v>1.42</v>
      </c>
      <c r="K114" s="19">
        <f>ROUND(I114/J114,2)</f>
        <v>143</v>
      </c>
      <c r="L114" s="257">
        <f>ROUND(D114/J114,2)</f>
        <v>34.51</v>
      </c>
      <c r="N114" s="296"/>
      <c r="O114" s="297" t="s">
        <v>285</v>
      </c>
      <c r="P114" s="298">
        <f>C114</f>
        <v>143</v>
      </c>
      <c r="Q114" s="298">
        <f t="shared" si="3"/>
        <v>49</v>
      </c>
      <c r="R114" s="298">
        <f t="shared" si="3"/>
        <v>7007</v>
      </c>
      <c r="S114" s="298">
        <f t="shared" si="3"/>
        <v>1085.17</v>
      </c>
      <c r="T114" s="299">
        <f>ROUND(R114*S114,2)</f>
        <v>7603786.19</v>
      </c>
    </row>
    <row r="115" spans="1:20" ht="15">
      <c r="A115" s="283"/>
      <c r="B115" s="277" t="s">
        <v>286</v>
      </c>
      <c r="C115" s="42">
        <f>K115</f>
        <v>3.6</v>
      </c>
      <c r="D115" s="42">
        <v>64</v>
      </c>
      <c r="E115" s="42">
        <f>ROUND(C115*D115,2)</f>
        <v>230.4</v>
      </c>
      <c r="F115" s="42">
        <f>F114</f>
        <v>1085.17</v>
      </c>
      <c r="G115" s="43">
        <f t="shared" si="1"/>
        <v>250023.17</v>
      </c>
      <c r="H115" s="115"/>
      <c r="I115" s="123">
        <v>5.11</v>
      </c>
      <c r="J115" s="117">
        <v>1.42</v>
      </c>
      <c r="K115" s="19">
        <f>ROUND(I115/J115,2)</f>
        <v>3.6</v>
      </c>
      <c r="L115" s="257">
        <f>ROUND(D115/J115,2)</f>
        <v>45.07</v>
      </c>
      <c r="N115" s="296"/>
      <c r="O115" s="297" t="s">
        <v>286</v>
      </c>
      <c r="P115" s="298">
        <f>C115</f>
        <v>3.6</v>
      </c>
      <c r="Q115" s="298">
        <f t="shared" si="3"/>
        <v>64</v>
      </c>
      <c r="R115" s="298">
        <f t="shared" si="3"/>
        <v>230.4</v>
      </c>
      <c r="S115" s="298">
        <f t="shared" si="3"/>
        <v>1085.17</v>
      </c>
      <c r="T115" s="299">
        <f>ROUND(R115*S115,2)</f>
        <v>250023.17</v>
      </c>
    </row>
    <row r="116" spans="1:20" ht="15.75" thickBot="1">
      <c r="A116" s="286"/>
      <c r="B116" s="278"/>
      <c r="C116" s="59">
        <f>SUM(C112:C115)</f>
        <v>323.11</v>
      </c>
      <c r="D116" s="59"/>
      <c r="E116" s="59"/>
      <c r="F116" s="59"/>
      <c r="G116" s="279">
        <f>SUM(G112:G115)</f>
        <v>13101767.44</v>
      </c>
      <c r="H116" s="115"/>
      <c r="I116" s="133">
        <f>SUM(I112:I115)</f>
        <v>458.81</v>
      </c>
      <c r="J116" s="119"/>
      <c r="K116" s="25">
        <f>SUM(K112:K115)</f>
        <v>323.11</v>
      </c>
      <c r="L116" s="258"/>
      <c r="N116" s="300"/>
      <c r="O116" s="301"/>
      <c r="P116" s="302">
        <f>SUM(P112:P115)</f>
        <v>323.11</v>
      </c>
      <c r="Q116" s="302"/>
      <c r="R116" s="302"/>
      <c r="S116" s="302"/>
      <c r="T116" s="303">
        <f>SUM(T112:T115)</f>
        <v>13101767.44</v>
      </c>
    </row>
    <row r="117" spans="1:20" ht="16.5" thickBot="1" thickTop="1">
      <c r="A117" s="285"/>
      <c r="B117" s="280"/>
      <c r="C117" s="34"/>
      <c r="D117" s="34"/>
      <c r="E117" s="34"/>
      <c r="F117" s="34"/>
      <c r="G117" s="35"/>
      <c r="H117" s="115"/>
      <c r="I117" s="115"/>
      <c r="J117" s="115"/>
      <c r="K117" s="115"/>
      <c r="N117" s="317"/>
      <c r="O117" s="318"/>
      <c r="P117" s="319"/>
      <c r="Q117" s="319"/>
      <c r="R117" s="319"/>
      <c r="S117" s="319"/>
      <c r="T117" s="320"/>
    </row>
    <row r="118" spans="1:20" ht="16.5" thickBot="1" thickTop="1">
      <c r="A118" s="284"/>
      <c r="B118" s="281" t="s">
        <v>88</v>
      </c>
      <c r="C118" s="50">
        <f>C104+C110+C116</f>
        <v>575.31</v>
      </c>
      <c r="D118" s="50"/>
      <c r="E118" s="50"/>
      <c r="F118" s="50"/>
      <c r="G118" s="51">
        <f>G104+G110+G116</f>
        <v>19520982.07</v>
      </c>
      <c r="H118" s="115"/>
      <c r="I118" s="115"/>
      <c r="J118" s="115"/>
      <c r="N118" s="313"/>
      <c r="O118" s="314" t="s">
        <v>88</v>
      </c>
      <c r="P118" s="315">
        <f>P104+P110+P116</f>
        <v>575.31</v>
      </c>
      <c r="Q118" s="315"/>
      <c r="R118" s="315"/>
      <c r="S118" s="315"/>
      <c r="T118" s="316">
        <f>T104+T110+T116</f>
        <v>19520982.07</v>
      </c>
    </row>
    <row r="119" spans="3:20" ht="15.75" thickTop="1">
      <c r="C119" s="120" t="s">
        <v>287</v>
      </c>
      <c r="D119" s="113"/>
      <c r="E119" s="113"/>
      <c r="F119" s="113">
        <f>'custosSalMín-igpmIgualÁguia'!H40</f>
        <v>50</v>
      </c>
      <c r="G119" s="114">
        <f>ROUND(G118*F119%,2)</f>
        <v>9760491.04</v>
      </c>
      <c r="N119" s="304"/>
      <c r="O119" s="304"/>
      <c r="P119" s="191" t="s">
        <v>287</v>
      </c>
      <c r="Q119" s="305"/>
      <c r="R119" s="305"/>
      <c r="S119" s="305">
        <f>F119</f>
        <v>50</v>
      </c>
      <c r="T119" s="306">
        <f>ROUND(T118*S119%,2)</f>
        <v>9760491.04</v>
      </c>
    </row>
    <row r="120" spans="3:20" ht="15">
      <c r="C120" s="259" t="s">
        <v>288</v>
      </c>
      <c r="D120" s="117"/>
      <c r="E120" s="117"/>
      <c r="F120" s="117">
        <v>20</v>
      </c>
      <c r="G120" s="19">
        <f>ROUND(G119*F120%,2)</f>
        <v>1952098.21</v>
      </c>
      <c r="N120" s="304"/>
      <c r="O120" s="304"/>
      <c r="P120" s="307" t="s">
        <v>288</v>
      </c>
      <c r="Q120" s="308"/>
      <c r="R120" s="308"/>
      <c r="S120" s="308">
        <v>20</v>
      </c>
      <c r="T120" s="309">
        <f>ROUND(T119*S120%,2)</f>
        <v>1952098.21</v>
      </c>
    </row>
    <row r="121" spans="3:20" ht="15.75" thickBot="1">
      <c r="C121" s="125" t="s">
        <v>289</v>
      </c>
      <c r="D121" s="119"/>
      <c r="E121" s="119"/>
      <c r="F121" s="119">
        <v>16</v>
      </c>
      <c r="G121" s="25">
        <f>ROUND(G120/F121,2)</f>
        <v>122006.14</v>
      </c>
      <c r="N121" s="304"/>
      <c r="O121" s="304"/>
      <c r="P121" s="310" t="s">
        <v>289</v>
      </c>
      <c r="Q121" s="311"/>
      <c r="R121" s="311"/>
      <c r="S121" s="311">
        <f>F121</f>
        <v>16</v>
      </c>
      <c r="T121" s="312">
        <f>ROUND(T120/S121,2)</f>
        <v>122006.14</v>
      </c>
    </row>
    <row r="122" ht="15.75" thickTop="1">
      <c r="G122" s="115"/>
    </row>
    <row r="125" spans="1:12" ht="15">
      <c r="A125" s="206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</row>
    <row r="126" ht="15.75" thickBot="1"/>
    <row r="127" spans="1:10" ht="15.75" thickTop="1">
      <c r="A127" s="13" t="s">
        <v>348</v>
      </c>
      <c r="B127" s="14" t="s">
        <v>352</v>
      </c>
      <c r="C127" s="331">
        <v>10000</v>
      </c>
      <c r="D127" s="331">
        <v>20000</v>
      </c>
      <c r="E127" s="331">
        <v>30000</v>
      </c>
      <c r="F127" s="331">
        <v>40000</v>
      </c>
      <c r="G127" s="331">
        <v>50000</v>
      </c>
      <c r="H127" s="331">
        <v>60000</v>
      </c>
      <c r="I127" s="14" t="s">
        <v>353</v>
      </c>
      <c r="J127" s="332" t="s">
        <v>103</v>
      </c>
    </row>
    <row r="128" spans="1:10" ht="15">
      <c r="A128" s="21" t="s">
        <v>349</v>
      </c>
      <c r="B128" s="18">
        <v>1</v>
      </c>
      <c r="C128" s="117">
        <v>320</v>
      </c>
      <c r="D128" s="117">
        <v>956</v>
      </c>
      <c r="E128" s="117">
        <v>1244</v>
      </c>
      <c r="F128" s="117">
        <v>1100</v>
      </c>
      <c r="G128" s="117">
        <v>632</v>
      </c>
      <c r="H128" s="117">
        <v>1588</v>
      </c>
      <c r="I128" s="117">
        <f>SUM(C128:H128)</f>
        <v>5840</v>
      </c>
      <c r="J128" s="19">
        <f>ROUND(I128*B128,2)</f>
        <v>5840</v>
      </c>
    </row>
    <row r="129" spans="1:10" ht="15">
      <c r="A129" s="21" t="s">
        <v>350</v>
      </c>
      <c r="B129" s="18">
        <v>1</v>
      </c>
      <c r="C129" s="117"/>
      <c r="D129" s="117"/>
      <c r="E129" s="117"/>
      <c r="F129" s="117"/>
      <c r="G129" s="117"/>
      <c r="H129" s="117"/>
      <c r="I129" s="117">
        <f>I128</f>
        <v>5840</v>
      </c>
      <c r="J129" s="19">
        <f>ROUND(I129*B129,2)</f>
        <v>5840</v>
      </c>
    </row>
    <row r="130" spans="1:10" ht="15">
      <c r="A130" s="21" t="s">
        <v>351</v>
      </c>
      <c r="B130" s="18">
        <v>4</v>
      </c>
      <c r="C130" s="117"/>
      <c r="D130" s="117"/>
      <c r="E130" s="117"/>
      <c r="F130" s="117"/>
      <c r="G130" s="117"/>
      <c r="H130" s="117"/>
      <c r="I130" s="117">
        <v>500</v>
      </c>
      <c r="J130" s="19">
        <f>ROUND(I130*B130,2)</f>
        <v>2000</v>
      </c>
    </row>
    <row r="131" spans="1:13" ht="15.75" thickBot="1">
      <c r="A131" s="23"/>
      <c r="B131" s="24"/>
      <c r="C131" s="119"/>
      <c r="D131" s="119"/>
      <c r="E131" s="119"/>
      <c r="F131" s="119"/>
      <c r="G131" s="119"/>
      <c r="H131" s="119"/>
      <c r="I131" s="119"/>
      <c r="J131" s="25">
        <f>SUM(J128:J130)</f>
        <v>13680</v>
      </c>
      <c r="L131" s="115"/>
      <c r="M131" s="115"/>
    </row>
    <row r="132" spans="3:13" ht="15.75" thickTop="1"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ht="15.75" thickBot="1"/>
    <row r="134" spans="1:8" ht="15.75" thickTop="1">
      <c r="A134" s="13" t="s">
        <v>354</v>
      </c>
      <c r="B134" s="14" t="s">
        <v>356</v>
      </c>
      <c r="C134" s="14" t="s">
        <v>355</v>
      </c>
      <c r="D134" s="14" t="s">
        <v>357</v>
      </c>
      <c r="E134" s="14" t="s">
        <v>358</v>
      </c>
      <c r="F134" s="14" t="s">
        <v>359</v>
      </c>
      <c r="G134" s="14" t="s">
        <v>360</v>
      </c>
      <c r="H134" s="145" t="s">
        <v>361</v>
      </c>
    </row>
    <row r="135" spans="1:8" ht="15">
      <c r="A135" s="21" t="s">
        <v>349</v>
      </c>
      <c r="B135" s="117">
        <v>15394.01</v>
      </c>
      <c r="C135" s="18">
        <v>20</v>
      </c>
      <c r="D135" s="117">
        <f>B135-ROUND(B135*C135%,2)</f>
        <v>12315.21</v>
      </c>
      <c r="E135" s="117">
        <f>D135</f>
        <v>12315.21</v>
      </c>
      <c r="F135" s="117">
        <f>B135+D135+E135</f>
        <v>40024.43</v>
      </c>
      <c r="G135" s="18">
        <v>1</v>
      </c>
      <c r="H135" s="19">
        <f>ROUND(F135*G135,2)</f>
        <v>40024.43</v>
      </c>
    </row>
    <row r="136" spans="1:8" ht="15">
      <c r="A136" s="21" t="s">
        <v>350</v>
      </c>
      <c r="B136" s="117">
        <v>9951.3</v>
      </c>
      <c r="C136" s="18">
        <v>20</v>
      </c>
      <c r="D136" s="117">
        <f>B136-ROUND(B136*C136%,2)</f>
        <v>7961.039999999999</v>
      </c>
      <c r="E136" s="117">
        <f>D136</f>
        <v>7961.039999999999</v>
      </c>
      <c r="F136" s="117">
        <f>B136+D136+E136</f>
        <v>25873.379999999997</v>
      </c>
      <c r="G136" s="18">
        <v>1</v>
      </c>
      <c r="H136" s="19">
        <f>ROUND(F136*G136,2)</f>
        <v>25873.38</v>
      </c>
    </row>
    <row r="137" spans="1:8" ht="15">
      <c r="A137" s="21" t="s">
        <v>351</v>
      </c>
      <c r="B137" s="117">
        <v>2638.04</v>
      </c>
      <c r="C137" s="18">
        <v>20</v>
      </c>
      <c r="D137" s="117">
        <f>B137-ROUND(B137*C137%,2)</f>
        <v>2110.43</v>
      </c>
      <c r="E137" s="117">
        <f>D137</f>
        <v>2110.43</v>
      </c>
      <c r="F137" s="117">
        <f>B137+D137+E137</f>
        <v>6858.9</v>
      </c>
      <c r="G137" s="18">
        <v>4</v>
      </c>
      <c r="H137" s="19">
        <f>ROUND(F137*G137,2)</f>
        <v>27435.6</v>
      </c>
    </row>
    <row r="138" spans="1:8" ht="15.75" thickBot="1">
      <c r="A138" s="23"/>
      <c r="B138" s="24"/>
      <c r="C138" s="24"/>
      <c r="D138" s="24"/>
      <c r="E138" s="24"/>
      <c r="F138" s="24"/>
      <c r="G138" s="24"/>
      <c r="H138" s="25">
        <f>SUM(H135:H137)</f>
        <v>93333.41</v>
      </c>
    </row>
    <row r="139" ht="16.5" thickBot="1" thickTop="1"/>
    <row r="140" spans="1:9" ht="15.75" thickTop="1">
      <c r="A140" s="13"/>
      <c r="B140" s="14"/>
      <c r="C140" s="113"/>
      <c r="D140" s="113" t="s">
        <v>257</v>
      </c>
      <c r="E140" s="113"/>
      <c r="F140" s="113"/>
      <c r="G140" s="113" t="s">
        <v>212</v>
      </c>
      <c r="H140" s="113" t="s">
        <v>372</v>
      </c>
      <c r="I140" s="114" t="s">
        <v>214</v>
      </c>
    </row>
    <row r="141" spans="1:9" ht="15">
      <c r="A141" s="123" t="s">
        <v>370</v>
      </c>
      <c r="B141" s="18" t="s">
        <v>369</v>
      </c>
      <c r="C141" s="117">
        <v>20000</v>
      </c>
      <c r="D141" s="117">
        <v>10</v>
      </c>
      <c r="E141" s="117">
        <f>ROUND(C141/D141,2)</f>
        <v>2000</v>
      </c>
      <c r="F141" s="117">
        <v>3.5</v>
      </c>
      <c r="G141" s="117">
        <f>ROUND(E141*F141,2)</f>
        <v>7000</v>
      </c>
      <c r="H141" s="117">
        <v>3</v>
      </c>
      <c r="I141" s="19">
        <f>ROUND(G141*H141,2)</f>
        <v>21000</v>
      </c>
    </row>
    <row r="142" spans="1:9" ht="15">
      <c r="A142" s="123" t="s">
        <v>371</v>
      </c>
      <c r="B142" s="18" t="s">
        <v>369</v>
      </c>
      <c r="C142" s="117">
        <v>20000</v>
      </c>
      <c r="D142" s="117">
        <v>10</v>
      </c>
      <c r="E142" s="117">
        <f>ROUND(C142/D142,2)</f>
        <v>2000</v>
      </c>
      <c r="F142" s="117">
        <v>2.7</v>
      </c>
      <c r="G142" s="117">
        <f>ROUND(E142*F142,2)</f>
        <v>5400</v>
      </c>
      <c r="H142" s="117">
        <v>3</v>
      </c>
      <c r="I142" s="19">
        <f>ROUND(G142*H142,2)</f>
        <v>16200</v>
      </c>
    </row>
    <row r="143" spans="1:9" ht="15.75" thickBot="1">
      <c r="A143" s="23"/>
      <c r="B143" s="24"/>
      <c r="C143" s="119"/>
      <c r="D143" s="119"/>
      <c r="E143" s="119"/>
      <c r="F143" s="119"/>
      <c r="G143" s="119"/>
      <c r="H143" s="119"/>
      <c r="I143" s="25">
        <f>SUM(I141:I142)</f>
        <v>37200</v>
      </c>
    </row>
    <row r="144" spans="3:8" ht="15.75" thickTop="1">
      <c r="C144" s="115"/>
      <c r="D144" s="115"/>
      <c r="E144" s="115"/>
      <c r="F144" s="115"/>
      <c r="G144" s="115"/>
      <c r="H144" s="115"/>
    </row>
    <row r="145" spans="3:8" ht="15">
      <c r="C145" s="115"/>
      <c r="D145" s="115"/>
      <c r="E145" s="115"/>
      <c r="F145" s="115"/>
      <c r="G145" s="115"/>
      <c r="H145" s="115"/>
    </row>
    <row r="146" spans="3:8" ht="15">
      <c r="C146" s="115"/>
      <c r="D146" s="115"/>
      <c r="E146" s="115"/>
      <c r="F146" s="115"/>
      <c r="G146" s="115"/>
      <c r="H146" s="115"/>
    </row>
    <row r="147" spans="3:8" ht="15">
      <c r="C147" s="115"/>
      <c r="D147" s="115"/>
      <c r="E147" s="115"/>
      <c r="F147" s="115"/>
      <c r="G147" s="115"/>
      <c r="H147" s="115"/>
    </row>
    <row r="148" spans="3:8" ht="15">
      <c r="C148" s="115"/>
      <c r="D148" s="115"/>
      <c r="E148" s="115"/>
      <c r="F148" s="115"/>
      <c r="G148" s="115"/>
      <c r="H148" s="115"/>
    </row>
    <row r="149" spans="3:8" ht="15">
      <c r="C149" s="115"/>
      <c r="D149" s="115"/>
      <c r="E149" s="115"/>
      <c r="F149" s="115"/>
      <c r="G149" s="115"/>
      <c r="H149" s="115"/>
    </row>
    <row r="150" spans="3:8" ht="15">
      <c r="C150" s="115"/>
      <c r="D150" s="115"/>
      <c r="E150" s="115"/>
      <c r="F150" s="115"/>
      <c r="G150" s="115"/>
      <c r="H150" s="115"/>
    </row>
    <row r="151" spans="3:8" ht="15">
      <c r="C151" s="115"/>
      <c r="D151" s="115"/>
      <c r="E151" s="115"/>
      <c r="F151" s="115"/>
      <c r="G151" s="115"/>
      <c r="H151" s="115"/>
    </row>
    <row r="152" spans="3:8" ht="15">
      <c r="C152" s="115"/>
      <c r="D152" s="115"/>
      <c r="E152" s="115"/>
      <c r="F152" s="115"/>
      <c r="G152" s="115"/>
      <c r="H152" s="115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1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25.28125" style="0" customWidth="1"/>
    <col min="4" max="4" width="9.7109375" style="0" customWidth="1"/>
    <col min="10" max="10" width="9.8515625" style="0" customWidth="1"/>
    <col min="11" max="11" width="13.28125" style="0" bestFit="1" customWidth="1"/>
    <col min="12" max="12" width="9.57421875" style="0" bestFit="1" customWidth="1"/>
  </cols>
  <sheetData>
    <row r="1" spans="2:13" ht="15.75" thickTop="1">
      <c r="B1" s="13"/>
      <c r="C1" s="14"/>
      <c r="D1" s="14" t="s">
        <v>121</v>
      </c>
      <c r="E1" s="15" t="s">
        <v>122</v>
      </c>
      <c r="F1" s="14"/>
      <c r="G1" s="14"/>
      <c r="H1" s="113"/>
      <c r="I1" s="114"/>
      <c r="J1" s="115"/>
      <c r="K1" s="115"/>
      <c r="L1" s="115"/>
      <c r="M1" s="115"/>
    </row>
    <row r="2" spans="2:13" ht="15">
      <c r="B2" s="21"/>
      <c r="C2" s="18" t="s">
        <v>123</v>
      </c>
      <c r="D2" s="18" t="s">
        <v>124</v>
      </c>
      <c r="E2" s="116" t="s">
        <v>125</v>
      </c>
      <c r="F2" s="18"/>
      <c r="G2" s="116" t="s">
        <v>126</v>
      </c>
      <c r="H2" s="117">
        <v>678</v>
      </c>
      <c r="I2" s="19"/>
      <c r="J2" s="115"/>
      <c r="K2" s="115"/>
      <c r="L2" s="115"/>
      <c r="M2" s="115"/>
    </row>
    <row r="3" spans="2:13" ht="15">
      <c r="B3" s="21" t="s">
        <v>69</v>
      </c>
      <c r="C3" s="117">
        <v>2000</v>
      </c>
      <c r="D3" s="117">
        <v>19.75</v>
      </c>
      <c r="E3" s="117">
        <f>ROUND(C3*D3%,2)+C3</f>
        <v>2395</v>
      </c>
      <c r="F3" s="117"/>
      <c r="G3" s="118" t="s">
        <v>127</v>
      </c>
      <c r="H3" s="117">
        <v>880</v>
      </c>
      <c r="I3" s="19"/>
      <c r="J3" s="115"/>
      <c r="K3" s="115"/>
      <c r="L3" s="115"/>
      <c r="M3" s="115"/>
    </row>
    <row r="4" spans="2:13" ht="15">
      <c r="B4" s="21" t="s">
        <v>128</v>
      </c>
      <c r="C4" s="117">
        <v>530</v>
      </c>
      <c r="D4" s="117">
        <v>19.75</v>
      </c>
      <c r="E4" s="117">
        <f>ROUND(C4*D4%,2)+C4</f>
        <v>634.6800000000001</v>
      </c>
      <c r="F4" s="117"/>
      <c r="G4" s="118" t="s">
        <v>129</v>
      </c>
      <c r="H4" s="117">
        <f>H3-H2</f>
        <v>202</v>
      </c>
      <c r="I4" s="19">
        <f>ROUND(H4/H2%,2)</f>
        <v>29.79</v>
      </c>
      <c r="J4" s="115"/>
      <c r="K4" s="115"/>
      <c r="L4" s="115"/>
      <c r="M4" s="115"/>
    </row>
    <row r="5" spans="2:13" ht="15.75" thickBot="1">
      <c r="B5" s="23" t="s">
        <v>130</v>
      </c>
      <c r="C5" s="119">
        <v>550</v>
      </c>
      <c r="D5" s="119">
        <v>19.75</v>
      </c>
      <c r="E5" s="119">
        <f>ROUND(C5*D5%,2)+C5</f>
        <v>658.63</v>
      </c>
      <c r="F5" s="119"/>
      <c r="G5" s="119"/>
      <c r="H5" s="119"/>
      <c r="I5" s="25"/>
      <c r="J5" s="115"/>
      <c r="K5" s="115"/>
      <c r="L5" s="115"/>
      <c r="M5" s="115"/>
    </row>
    <row r="6" spans="3:13" ht="16.5" thickBot="1" thickTop="1"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3:13" ht="16.5" thickBot="1" thickTop="1">
      <c r="C7" s="115"/>
      <c r="D7" s="106" t="s">
        <v>131</v>
      </c>
      <c r="E7" s="115"/>
      <c r="F7" s="115"/>
      <c r="G7" s="120"/>
      <c r="H7" s="121" t="s">
        <v>132</v>
      </c>
      <c r="I7" s="113"/>
      <c r="J7" s="122" t="s">
        <v>133</v>
      </c>
      <c r="K7" s="115"/>
      <c r="L7" s="115"/>
      <c r="M7" s="115"/>
    </row>
    <row r="8" spans="2:13" ht="15.75" thickTop="1">
      <c r="B8" s="13" t="s">
        <v>69</v>
      </c>
      <c r="C8" s="113">
        <v>2000</v>
      </c>
      <c r="D8" s="113">
        <v>29.79</v>
      </c>
      <c r="E8" s="114">
        <f>ROUND(C8*D8%,2)+C8</f>
        <v>2595.8</v>
      </c>
      <c r="F8" s="115"/>
      <c r="G8" s="123"/>
      <c r="H8" s="117">
        <v>70</v>
      </c>
      <c r="I8" s="117">
        <v>5.19</v>
      </c>
      <c r="J8" s="124">
        <f>ROUND(H8/I8,2)</f>
        <v>13.49</v>
      </c>
      <c r="K8" s="115"/>
      <c r="L8" s="115"/>
      <c r="M8" s="115"/>
    </row>
    <row r="9" spans="2:13" ht="15">
      <c r="B9" s="21" t="s">
        <v>128</v>
      </c>
      <c r="C9" s="117">
        <v>530</v>
      </c>
      <c r="D9" s="117">
        <v>29.79</v>
      </c>
      <c r="E9" s="19">
        <f>ROUND(C9*D9%,2)+C9</f>
        <v>687.89</v>
      </c>
      <c r="F9" s="115"/>
      <c r="G9" s="123"/>
      <c r="H9" s="117">
        <v>123</v>
      </c>
      <c r="I9" s="117">
        <v>23.11</v>
      </c>
      <c r="J9" s="124">
        <f>ROUND(H9/I9,2)</f>
        <v>5.32</v>
      </c>
      <c r="K9" s="115"/>
      <c r="L9" s="115"/>
      <c r="M9" s="115"/>
    </row>
    <row r="10" spans="2:13" ht="15.75" thickBot="1">
      <c r="B10" s="23" t="s">
        <v>130</v>
      </c>
      <c r="C10" s="119">
        <v>550</v>
      </c>
      <c r="D10" s="119">
        <v>29.79</v>
      </c>
      <c r="E10" s="25">
        <f>ROUND(C10*D10%,2)+C10</f>
        <v>713.85</v>
      </c>
      <c r="F10" s="115"/>
      <c r="G10" s="125" t="s">
        <v>70</v>
      </c>
      <c r="H10" s="119">
        <v>2000</v>
      </c>
      <c r="I10" s="119">
        <v>0.3</v>
      </c>
      <c r="J10" s="126">
        <f>ROUND(H10*I10,2)</f>
        <v>600</v>
      </c>
      <c r="K10" s="115"/>
      <c r="L10" s="115"/>
      <c r="M10" s="115"/>
    </row>
    <row r="11" spans="3:13" ht="16.5" thickBot="1" thickTop="1">
      <c r="C11" s="115"/>
      <c r="D11" s="115"/>
      <c r="E11" s="115"/>
      <c r="F11" s="115"/>
      <c r="K11" s="115"/>
      <c r="L11" s="115"/>
      <c r="M11" s="115"/>
    </row>
    <row r="12" spans="3:13" ht="16.5" thickBot="1" thickTop="1">
      <c r="C12" s="115"/>
      <c r="D12" s="190" t="s">
        <v>181</v>
      </c>
      <c r="E12" s="127" t="s">
        <v>134</v>
      </c>
      <c r="F12" s="191" t="s">
        <v>182</v>
      </c>
      <c r="G12" s="128" t="s">
        <v>135</v>
      </c>
      <c r="H12" s="129" t="s">
        <v>95</v>
      </c>
      <c r="I12" s="130" t="s">
        <v>136</v>
      </c>
      <c r="J12" s="13"/>
      <c r="K12" s="113"/>
      <c r="L12" s="145" t="s">
        <v>321</v>
      </c>
      <c r="M12" s="115"/>
    </row>
    <row r="13" spans="3:13" ht="16.5" thickBot="1" thickTop="1">
      <c r="C13" s="115"/>
      <c r="D13" s="131">
        <v>80</v>
      </c>
      <c r="E13" s="132">
        <v>29.79</v>
      </c>
      <c r="F13" s="133">
        <v>20</v>
      </c>
      <c r="G13" s="134">
        <v>19.75</v>
      </c>
      <c r="H13" s="135" t="s">
        <v>137</v>
      </c>
      <c r="I13" s="130" t="s">
        <v>138</v>
      </c>
      <c r="J13" s="21"/>
      <c r="K13" s="117" t="s">
        <v>323</v>
      </c>
      <c r="L13" s="124" t="s">
        <v>322</v>
      </c>
      <c r="M13" s="190" t="s">
        <v>324</v>
      </c>
    </row>
    <row r="14" spans="2:13" ht="15.75" thickTop="1">
      <c r="B14" s="13" t="s">
        <v>69</v>
      </c>
      <c r="C14" s="136">
        <v>2000</v>
      </c>
      <c r="D14" s="120">
        <f>ROUND(C14*D13%,2)</f>
        <v>1600</v>
      </c>
      <c r="E14" s="137">
        <f>ROUND(D14*E13%,2)+D14</f>
        <v>2076.64</v>
      </c>
      <c r="F14" s="138">
        <f>ROUND(C14*F13%,2)</f>
        <v>400</v>
      </c>
      <c r="G14" s="139">
        <f>ROUND(F14*G13%,2)+F14</f>
        <v>479</v>
      </c>
      <c r="H14" s="140">
        <f>E14+G14</f>
        <v>2555.64</v>
      </c>
      <c r="I14" s="115">
        <f>D14+F14-C14</f>
        <v>0</v>
      </c>
      <c r="J14" s="21">
        <f>ROUND(H14/D14%,2)-100</f>
        <v>59.72999999999999</v>
      </c>
      <c r="K14" s="117">
        <f>H14-C14</f>
        <v>555.6399999999999</v>
      </c>
      <c r="L14" s="274">
        <f>ROUND(K14/C14%,6)</f>
        <v>27.782</v>
      </c>
      <c r="M14" s="272">
        <f>ROUND(C14*L14%,2)+C14-H14</f>
        <v>0</v>
      </c>
    </row>
    <row r="15" spans="2:13" ht="15">
      <c r="B15" s="21" t="s">
        <v>128</v>
      </c>
      <c r="C15" s="141">
        <v>530</v>
      </c>
      <c r="D15" s="123">
        <f>ROUND(C15*D13%,2)</f>
        <v>424</v>
      </c>
      <c r="E15" s="142">
        <f>ROUND(D15*E13%,2)+D15</f>
        <v>550.31</v>
      </c>
      <c r="F15" s="123">
        <f>ROUND(C15*F13%,2)</f>
        <v>106</v>
      </c>
      <c r="G15" s="142">
        <f>ROUND(F15*G13%,2)+F15</f>
        <v>126.94</v>
      </c>
      <c r="H15" s="140">
        <f>E15+G15</f>
        <v>677.25</v>
      </c>
      <c r="I15" s="115">
        <f>D15+F15-C15</f>
        <v>0</v>
      </c>
      <c r="J15" s="21">
        <f>ROUND(H15/D15%,2)-100</f>
        <v>59.72999999999999</v>
      </c>
      <c r="K15" s="117">
        <f>H15-C15</f>
        <v>147.25</v>
      </c>
      <c r="L15" s="274">
        <f>ROUND(K15/C15%,6)</f>
        <v>27.783019</v>
      </c>
      <c r="M15" s="272">
        <f>ROUND(C15*L15%,2)+C15-H15</f>
        <v>0</v>
      </c>
    </row>
    <row r="16" spans="2:13" ht="15.75" thickBot="1">
      <c r="B16" s="23" t="s">
        <v>130</v>
      </c>
      <c r="C16" s="143">
        <v>550</v>
      </c>
      <c r="D16" s="133">
        <f>ROUND(C16*D13%,2)</f>
        <v>440</v>
      </c>
      <c r="E16" s="134">
        <f>ROUND(D16*E13%,2)+D16</f>
        <v>571.08</v>
      </c>
      <c r="F16" s="133">
        <f>ROUND(C16*F13%,2)</f>
        <v>110</v>
      </c>
      <c r="G16" s="134">
        <f>ROUND(F16*G13%,2)+F16</f>
        <v>131.73</v>
      </c>
      <c r="H16" s="144">
        <f>E16+G16</f>
        <v>702.8100000000001</v>
      </c>
      <c r="I16" s="115">
        <f>D16+F16-C16</f>
        <v>0</v>
      </c>
      <c r="J16" s="23">
        <f>ROUND(H16/D16%,2)-100</f>
        <v>59.72999999999999</v>
      </c>
      <c r="K16" s="119">
        <f>H16-C16</f>
        <v>152.81000000000006</v>
      </c>
      <c r="L16" s="274">
        <f>ROUND(K16/C16%,6)</f>
        <v>27.783636</v>
      </c>
      <c r="M16" s="273">
        <f>ROUND(C16*L16%,2)+C16-H16</f>
        <v>0</v>
      </c>
    </row>
    <row r="17" spans="3:13" ht="16.5" thickBot="1" thickTop="1">
      <c r="C17" s="115"/>
      <c r="D17" s="115"/>
      <c r="E17" s="115"/>
      <c r="F17" s="115"/>
      <c r="K17" s="115"/>
      <c r="L17" s="115"/>
      <c r="M17" s="115"/>
    </row>
    <row r="18" spans="3:13" ht="15.75" thickTop="1">
      <c r="C18" s="115"/>
      <c r="D18" s="190" t="s">
        <v>181</v>
      </c>
      <c r="E18" s="127" t="s">
        <v>134</v>
      </c>
      <c r="F18" s="191" t="s">
        <v>182</v>
      </c>
      <c r="G18" s="128" t="s">
        <v>135</v>
      </c>
      <c r="H18" s="129" t="s">
        <v>95</v>
      </c>
      <c r="I18" s="130" t="s">
        <v>136</v>
      </c>
      <c r="K18" s="115"/>
      <c r="L18" s="115"/>
      <c r="M18" s="115"/>
    </row>
    <row r="19" spans="3:13" ht="15.75" thickBot="1">
      <c r="C19" s="115"/>
      <c r="D19" s="77">
        <v>80</v>
      </c>
      <c r="E19" s="167">
        <v>29.79</v>
      </c>
      <c r="F19" s="168">
        <v>20</v>
      </c>
      <c r="G19" s="169">
        <v>19.75</v>
      </c>
      <c r="H19" s="170" t="s">
        <v>137</v>
      </c>
      <c r="I19" s="130" t="s">
        <v>138</v>
      </c>
      <c r="K19" s="115"/>
      <c r="L19" s="115"/>
      <c r="M19" s="115"/>
    </row>
    <row r="20" spans="2:13" ht="15.75" thickTop="1">
      <c r="B20" s="90" t="s">
        <v>104</v>
      </c>
      <c r="C20" s="171">
        <v>26.88</v>
      </c>
      <c r="D20" s="120">
        <f>ROUND(C20*D19%,2)</f>
        <v>21.5</v>
      </c>
      <c r="E20" s="137">
        <f>ROUND(D20*E19%,2)+D20</f>
        <v>27.9</v>
      </c>
      <c r="F20" s="120">
        <f>ROUND(C20*F19%,2)</f>
        <v>5.38</v>
      </c>
      <c r="G20" s="137">
        <f>ROUND(F20*G19%,2)+F20</f>
        <v>6.4399999999999995</v>
      </c>
      <c r="H20" s="172">
        <f>E20+G20</f>
        <v>34.339999999999996</v>
      </c>
      <c r="I20" s="115">
        <f>D20+F20-C20</f>
        <v>0</v>
      </c>
      <c r="K20" s="115"/>
      <c r="L20" s="115"/>
      <c r="M20" s="115"/>
    </row>
    <row r="21" spans="2:13" ht="15.75" thickBot="1">
      <c r="B21" s="98" t="s">
        <v>105</v>
      </c>
      <c r="C21" s="173">
        <v>16.08</v>
      </c>
      <c r="D21" s="133">
        <f>ROUND(C21*D19%,2)</f>
        <v>12.86</v>
      </c>
      <c r="E21" s="134">
        <f>ROUND(D21*E19%,2)+D21</f>
        <v>16.689999999999998</v>
      </c>
      <c r="F21" s="133">
        <f>ROUND(C21*F19%,2)</f>
        <v>3.22</v>
      </c>
      <c r="G21" s="134">
        <f>ROUND(F21*G19%,2)+F21</f>
        <v>3.8600000000000003</v>
      </c>
      <c r="H21" s="144">
        <f>E21+G21</f>
        <v>20.549999999999997</v>
      </c>
      <c r="I21" s="115">
        <f>D21+F21-C21</f>
        <v>0</v>
      </c>
      <c r="K21" s="115"/>
      <c r="L21" s="115"/>
      <c r="M21" s="115"/>
    </row>
    <row r="22" spans="3:13" ht="15.75" thickTop="1">
      <c r="C22" s="115"/>
      <c r="D22" s="115"/>
      <c r="E22" s="115"/>
      <c r="F22" s="115"/>
      <c r="K22" s="115"/>
      <c r="L22" s="115"/>
      <c r="M22" s="115"/>
    </row>
    <row r="23" spans="3:13" ht="15">
      <c r="C23" s="115"/>
      <c r="D23" s="115"/>
      <c r="E23" s="115"/>
      <c r="F23" s="115"/>
      <c r="K23" s="115"/>
      <c r="L23" s="115"/>
      <c r="M23" s="115"/>
    </row>
    <row r="24" spans="3:13" ht="15">
      <c r="C24" s="115"/>
      <c r="D24" s="115"/>
      <c r="E24" s="115"/>
      <c r="F24" s="115"/>
      <c r="K24" s="115"/>
      <c r="L24" s="115"/>
      <c r="M24" s="115"/>
    </row>
    <row r="25" spans="3:13" ht="15">
      <c r="C25" s="115"/>
      <c r="D25" s="115"/>
      <c r="E25" s="115"/>
      <c r="F25" s="115"/>
      <c r="K25" s="115"/>
      <c r="L25" s="115"/>
      <c r="M25" s="115"/>
    </row>
    <row r="26" spans="3:13" ht="15">
      <c r="C26" s="115"/>
      <c r="D26" s="115"/>
      <c r="E26" s="115"/>
      <c r="F26" s="115"/>
      <c r="K26" s="115"/>
      <c r="L26" s="115"/>
      <c r="M26" s="115"/>
    </row>
    <row r="27" spans="3:13" ht="15.75" thickBot="1">
      <c r="C27" s="115"/>
      <c r="D27" s="115"/>
      <c r="E27" s="115"/>
      <c r="F27" s="115"/>
      <c r="K27" s="115"/>
      <c r="L27" s="115"/>
      <c r="M27" s="115"/>
    </row>
    <row r="28" spans="3:13" ht="16.5" thickBot="1" thickTop="1">
      <c r="C28" s="115"/>
      <c r="D28" s="115"/>
      <c r="E28" s="115"/>
      <c r="F28" s="115"/>
      <c r="H28" s="120">
        <v>4500</v>
      </c>
      <c r="I28" s="15" t="s">
        <v>139</v>
      </c>
      <c r="J28" s="145"/>
      <c r="K28" s="115"/>
      <c r="L28" s="115"/>
      <c r="M28" s="115"/>
    </row>
    <row r="29" spans="2:13" ht="16.5" thickBot="1" thickTop="1">
      <c r="B29" s="83" t="s">
        <v>140</v>
      </c>
      <c r="C29" s="146"/>
      <c r="D29" s="147"/>
      <c r="E29" s="115"/>
      <c r="F29" s="115"/>
      <c r="H29" s="21">
        <v>45</v>
      </c>
      <c r="I29" s="116" t="s">
        <v>141</v>
      </c>
      <c r="J29" s="124"/>
      <c r="K29" s="115"/>
      <c r="L29" s="115"/>
      <c r="M29" s="115"/>
    </row>
    <row r="30" spans="2:10" ht="15.75" thickTop="1">
      <c r="B30" s="148" t="s">
        <v>142</v>
      </c>
      <c r="C30" s="113">
        <v>2056.2</v>
      </c>
      <c r="D30" s="114"/>
      <c r="E30" s="115"/>
      <c r="F30" s="115"/>
      <c r="H30" s="123">
        <f>ROUND(H28/H29,2)</f>
        <v>100</v>
      </c>
      <c r="I30" s="116" t="s">
        <v>143</v>
      </c>
      <c r="J30" s="124"/>
    </row>
    <row r="31" spans="2:10" ht="15">
      <c r="B31" s="22" t="s">
        <v>144</v>
      </c>
      <c r="C31" s="117">
        <v>20</v>
      </c>
      <c r="D31" s="19"/>
      <c r="E31" s="115"/>
      <c r="F31" s="115"/>
      <c r="H31" s="21">
        <v>20</v>
      </c>
      <c r="I31" s="149" t="s">
        <v>145</v>
      </c>
      <c r="J31" s="124"/>
    </row>
    <row r="32" spans="2:10" ht="15.75" thickBot="1">
      <c r="B32" s="150" t="s">
        <v>146</v>
      </c>
      <c r="C32" s="119">
        <f>ROUND(C30/C31,2)</f>
        <v>102.81</v>
      </c>
      <c r="D32" s="25"/>
      <c r="E32" s="115"/>
      <c r="F32" s="115"/>
      <c r="H32" s="151">
        <f>ROUND(H30/H31,2)</f>
        <v>5</v>
      </c>
      <c r="I32" s="152" t="s">
        <v>147</v>
      </c>
      <c r="J32" s="126"/>
    </row>
    <row r="33" spans="2:4" ht="15.75" thickTop="1">
      <c r="B33" s="153"/>
      <c r="C33" s="154"/>
      <c r="D33" s="155"/>
    </row>
    <row r="34" spans="2:4" ht="15.75" thickBot="1">
      <c r="B34" s="22" t="s">
        <v>148</v>
      </c>
      <c r="C34" s="156">
        <v>5</v>
      </c>
      <c r="D34" s="124"/>
    </row>
    <row r="35" spans="2:11" ht="15.75" thickTop="1">
      <c r="B35" s="22" t="s">
        <v>149</v>
      </c>
      <c r="C35" s="157">
        <v>2.42</v>
      </c>
      <c r="D35" s="124"/>
      <c r="H35" s="148" t="s">
        <v>150</v>
      </c>
      <c r="I35" s="14"/>
      <c r="J35" s="14"/>
      <c r="K35" s="145" t="s">
        <v>151</v>
      </c>
    </row>
    <row r="36" spans="2:11" ht="15">
      <c r="B36" s="21"/>
      <c r="C36" s="117"/>
      <c r="D36" s="124"/>
      <c r="H36" s="21" t="s">
        <v>152</v>
      </c>
      <c r="I36" s="117">
        <v>100</v>
      </c>
      <c r="J36" s="18">
        <v>6</v>
      </c>
      <c r="K36" s="19">
        <f>ROUND(I36/J36,2)</f>
        <v>16.67</v>
      </c>
    </row>
    <row r="37" spans="2:11" ht="15.75" thickBot="1">
      <c r="B37" s="23" t="s">
        <v>153</v>
      </c>
      <c r="C37" s="119">
        <f>C32+C34+C35</f>
        <v>110.23</v>
      </c>
      <c r="D37" s="126"/>
      <c r="H37" s="21" t="s">
        <v>154</v>
      </c>
      <c r="I37" s="117">
        <v>25</v>
      </c>
      <c r="J37" s="18">
        <v>6</v>
      </c>
      <c r="K37" s="19">
        <f aca="true" t="shared" si="0" ref="K37:K43">ROUND(I37/J37,2)</f>
        <v>4.17</v>
      </c>
    </row>
    <row r="38" spans="2:11" ht="16.5" thickBot="1" thickTop="1">
      <c r="B38" s="158" t="s">
        <v>155</v>
      </c>
      <c r="C38" s="159">
        <f>ROUND(C37*D38%,2)</f>
        <v>11.02</v>
      </c>
      <c r="D38" s="160">
        <v>10</v>
      </c>
      <c r="H38" s="21" t="s">
        <v>156</v>
      </c>
      <c r="I38" s="117">
        <v>25</v>
      </c>
      <c r="J38" s="18">
        <v>4</v>
      </c>
      <c r="K38" s="19">
        <f t="shared" si="0"/>
        <v>6.25</v>
      </c>
    </row>
    <row r="39" spans="2:11" ht="16.5" thickBot="1" thickTop="1">
      <c r="B39" s="161" t="s">
        <v>157</v>
      </c>
      <c r="C39" s="162">
        <f>C37+C38</f>
        <v>121.25</v>
      </c>
      <c r="D39" s="163"/>
      <c r="H39" s="21" t="s">
        <v>158</v>
      </c>
      <c r="I39" s="117">
        <v>15</v>
      </c>
      <c r="J39" s="18">
        <v>3</v>
      </c>
      <c r="K39" s="19">
        <f t="shared" si="0"/>
        <v>5</v>
      </c>
    </row>
    <row r="40" spans="3:11" ht="16.5" thickBot="1" thickTop="1">
      <c r="C40" s="115"/>
      <c r="H40" s="21" t="s">
        <v>159</v>
      </c>
      <c r="I40" s="117">
        <v>5</v>
      </c>
      <c r="J40" s="18">
        <v>6</v>
      </c>
      <c r="K40" s="19">
        <f t="shared" si="0"/>
        <v>0.83</v>
      </c>
    </row>
    <row r="41" spans="2:11" ht="15.75" thickTop="1">
      <c r="B41" s="13"/>
      <c r="C41" s="14" t="s">
        <v>66</v>
      </c>
      <c r="D41" s="14"/>
      <c r="E41" s="14"/>
      <c r="F41" s="15" t="s">
        <v>67</v>
      </c>
      <c r="G41" s="16" t="s">
        <v>68</v>
      </c>
      <c r="H41" s="21" t="s">
        <v>160</v>
      </c>
      <c r="I41" s="117">
        <v>40</v>
      </c>
      <c r="J41" s="18">
        <v>6</v>
      </c>
      <c r="K41" s="19">
        <f t="shared" si="0"/>
        <v>6.67</v>
      </c>
    </row>
    <row r="42" spans="2:11" ht="15">
      <c r="B42" s="17" t="s">
        <v>69</v>
      </c>
      <c r="C42" s="18"/>
      <c r="D42" s="18"/>
      <c r="E42" s="18"/>
      <c r="F42" s="18"/>
      <c r="G42" s="19"/>
      <c r="H42" s="21" t="s">
        <v>161</v>
      </c>
      <c r="I42" s="117">
        <v>25</v>
      </c>
      <c r="J42" s="18">
        <v>4</v>
      </c>
      <c r="K42" s="19">
        <f t="shared" si="0"/>
        <v>6.25</v>
      </c>
    </row>
    <row r="43" spans="2:11" ht="15">
      <c r="B43" s="20" t="s">
        <v>70</v>
      </c>
      <c r="C43" s="18">
        <v>2000</v>
      </c>
      <c r="D43" s="18">
        <v>0.3</v>
      </c>
      <c r="E43" s="18"/>
      <c r="F43" s="18"/>
      <c r="G43" s="19">
        <f>ROUND(C43*D43,2)</f>
        <v>600</v>
      </c>
      <c r="H43" s="21" t="s">
        <v>162</v>
      </c>
      <c r="I43" s="117">
        <v>30</v>
      </c>
      <c r="J43" s="18">
        <v>12</v>
      </c>
      <c r="K43" s="19">
        <f t="shared" si="0"/>
        <v>2.5</v>
      </c>
    </row>
    <row r="44" spans="2:11" ht="15">
      <c r="B44" s="21" t="s">
        <v>71</v>
      </c>
      <c r="C44" s="18">
        <v>6.5</v>
      </c>
      <c r="D44" s="18"/>
      <c r="E44" s="18"/>
      <c r="F44" s="18">
        <v>121.25</v>
      </c>
      <c r="G44" s="19">
        <f aca="true" t="shared" si="1" ref="G44:G49">ROUND(C44*F44,2)</f>
        <v>788.13</v>
      </c>
      <c r="H44" s="21"/>
      <c r="I44" s="117"/>
      <c r="J44" s="18"/>
      <c r="K44" s="19">
        <f>SUM(K36:K43)</f>
        <v>48.34</v>
      </c>
    </row>
    <row r="45" spans="2:11" ht="15">
      <c r="B45" s="21" t="s">
        <v>72</v>
      </c>
      <c r="C45" s="18">
        <v>10</v>
      </c>
      <c r="D45" s="18"/>
      <c r="E45" s="18"/>
      <c r="F45" s="18">
        <v>121.25</v>
      </c>
      <c r="G45" s="19">
        <f t="shared" si="1"/>
        <v>1212.5</v>
      </c>
      <c r="H45" s="21"/>
      <c r="I45" s="117"/>
      <c r="J45" s="18"/>
      <c r="K45" s="19">
        <v>20</v>
      </c>
    </row>
    <row r="46" spans="2:11" ht="15.75" thickBot="1">
      <c r="B46" s="21" t="s">
        <v>69</v>
      </c>
      <c r="C46" s="18">
        <v>5</v>
      </c>
      <c r="D46" s="18"/>
      <c r="E46" s="18"/>
      <c r="F46" s="18">
        <v>121.25</v>
      </c>
      <c r="G46" s="19">
        <f t="shared" si="1"/>
        <v>606.25</v>
      </c>
      <c r="H46" s="23"/>
      <c r="I46" s="119"/>
      <c r="J46" s="24"/>
      <c r="K46" s="164">
        <f>ROUND(K44/K45,2)</f>
        <v>2.42</v>
      </c>
    </row>
    <row r="47" spans="2:7" ht="15.75" thickTop="1">
      <c r="B47" s="21" t="s">
        <v>73</v>
      </c>
      <c r="C47" s="18">
        <v>1.3</v>
      </c>
      <c r="D47" s="18"/>
      <c r="E47" s="18"/>
      <c r="F47" s="18">
        <v>121.25</v>
      </c>
      <c r="G47" s="19">
        <f t="shared" si="1"/>
        <v>157.63</v>
      </c>
    </row>
    <row r="48" spans="2:7" ht="15">
      <c r="B48" s="21" t="s">
        <v>74</v>
      </c>
      <c r="C48" s="18">
        <v>2</v>
      </c>
      <c r="D48" s="18"/>
      <c r="E48" s="18"/>
      <c r="F48" s="18">
        <v>121.25</v>
      </c>
      <c r="G48" s="19">
        <f t="shared" si="1"/>
        <v>242.5</v>
      </c>
    </row>
    <row r="49" spans="2:7" ht="15">
      <c r="B49" s="21" t="s">
        <v>75</v>
      </c>
      <c r="C49" s="18">
        <v>2</v>
      </c>
      <c r="D49" s="18"/>
      <c r="E49" s="18"/>
      <c r="F49" s="18">
        <v>121.25</v>
      </c>
      <c r="G49" s="19">
        <f t="shared" si="1"/>
        <v>242.5</v>
      </c>
    </row>
    <row r="50" spans="2:7" ht="15.75" thickBot="1">
      <c r="B50" s="23"/>
      <c r="C50" s="24"/>
      <c r="D50" s="24"/>
      <c r="E50" s="24"/>
      <c r="F50" s="24"/>
      <c r="G50" s="25">
        <f>SUM(G43:G49)</f>
        <v>3849.51</v>
      </c>
    </row>
    <row r="51" spans="2:7" ht="15.75" thickTop="1">
      <c r="B51" s="153"/>
      <c r="C51" s="165"/>
      <c r="D51" s="165"/>
      <c r="E51" s="165"/>
      <c r="F51" s="165"/>
      <c r="G51" s="166"/>
    </row>
    <row r="52" spans="2:7" ht="15">
      <c r="B52" s="17" t="s">
        <v>76</v>
      </c>
      <c r="C52" s="18"/>
      <c r="D52" s="18"/>
      <c r="E52" s="18"/>
      <c r="F52" s="18"/>
      <c r="G52" s="19"/>
    </row>
    <row r="53" spans="2:7" ht="15">
      <c r="B53" s="21" t="s">
        <v>71</v>
      </c>
      <c r="C53" s="18">
        <v>4.5</v>
      </c>
      <c r="D53" s="18"/>
      <c r="E53" s="18"/>
      <c r="F53" s="18">
        <v>121.25</v>
      </c>
      <c r="G53" s="19">
        <f>ROUND(C53*F53,2)</f>
        <v>545.63</v>
      </c>
    </row>
    <row r="54" spans="2:7" ht="15">
      <c r="B54" s="22" t="s">
        <v>77</v>
      </c>
      <c r="C54" s="18"/>
      <c r="D54" s="18"/>
      <c r="E54" s="18"/>
      <c r="F54" s="18">
        <v>121.25</v>
      </c>
      <c r="G54" s="19">
        <f>F54</f>
        <v>121.25</v>
      </c>
    </row>
    <row r="55" spans="2:7" ht="15">
      <c r="B55" s="21" t="s">
        <v>78</v>
      </c>
      <c r="C55" s="18"/>
      <c r="D55" s="18">
        <v>1.5</v>
      </c>
      <c r="E55" s="18"/>
      <c r="F55" s="18"/>
      <c r="G55" s="19"/>
    </row>
    <row r="56" spans="2:7" ht="15">
      <c r="B56" s="21" t="s">
        <v>79</v>
      </c>
      <c r="C56" s="18"/>
      <c r="D56" s="18">
        <v>2</v>
      </c>
      <c r="E56" s="18">
        <v>28</v>
      </c>
      <c r="F56" s="18"/>
      <c r="G56" s="19"/>
    </row>
    <row r="57" spans="2:7" ht="15">
      <c r="B57" s="21"/>
      <c r="C57" s="18"/>
      <c r="D57" s="18"/>
      <c r="E57" s="18"/>
      <c r="F57" s="18"/>
      <c r="G57" s="19"/>
    </row>
    <row r="58" spans="2:7" ht="15.75" thickBot="1">
      <c r="B58" s="23"/>
      <c r="C58" s="24"/>
      <c r="D58" s="24"/>
      <c r="E58" s="24"/>
      <c r="F58" s="24"/>
      <c r="G58" s="25">
        <f>G53+G56</f>
        <v>545.63</v>
      </c>
    </row>
    <row r="59" ht="16.5" thickBot="1" thickTop="1"/>
    <row r="60" spans="2:5" ht="15.75" thickTop="1">
      <c r="B60" s="148" t="s">
        <v>163</v>
      </c>
      <c r="C60" s="113"/>
      <c r="D60" s="15" t="s">
        <v>164</v>
      </c>
      <c r="E60" s="145"/>
    </row>
    <row r="61" spans="2:5" ht="15">
      <c r="B61" s="21"/>
      <c r="C61" s="117"/>
      <c r="D61" s="116" t="s">
        <v>165</v>
      </c>
      <c r="E61" s="124"/>
    </row>
    <row r="62" spans="2:5" ht="15">
      <c r="B62" s="22" t="s">
        <v>166</v>
      </c>
      <c r="C62" s="117">
        <v>2292.09</v>
      </c>
      <c r="D62" s="18">
        <v>64.64</v>
      </c>
      <c r="E62" s="19">
        <f>ROUND(C62*D62%,2)+C62</f>
        <v>3773.7</v>
      </c>
    </row>
    <row r="63" spans="2:5" ht="15.75" thickBot="1">
      <c r="B63" s="150" t="s">
        <v>167</v>
      </c>
      <c r="C63" s="119">
        <v>363.98</v>
      </c>
      <c r="D63" s="24">
        <v>64.64</v>
      </c>
      <c r="E63" s="25">
        <f>ROUND(C63*D63%,2)+C63</f>
        <v>599.26</v>
      </c>
    </row>
    <row r="64" ht="15.75" thickTop="1"/>
    <row r="71" ht="15">
      <c r="G71" s="115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11.140625" style="0" customWidth="1"/>
    <col min="3" max="3" width="17.00390625" style="0" customWidth="1"/>
    <col min="4" max="4" width="13.421875" style="0" customWidth="1"/>
    <col min="5" max="5" width="12.140625" style="0" bestFit="1" customWidth="1"/>
    <col min="6" max="6" width="12.28125" style="0" bestFit="1" customWidth="1"/>
    <col min="7" max="7" width="12.140625" style="0" bestFit="1" customWidth="1"/>
    <col min="8" max="9" width="10.57421875" style="0" bestFit="1" customWidth="1"/>
  </cols>
  <sheetData>
    <row r="1" spans="5:9" ht="15.75" thickTop="1">
      <c r="E1" s="13" t="s">
        <v>317</v>
      </c>
      <c r="F1" s="14" t="s">
        <v>315</v>
      </c>
      <c r="G1" s="14" t="s">
        <v>316</v>
      </c>
      <c r="H1" s="14" t="s">
        <v>318</v>
      </c>
      <c r="I1" s="145" t="s">
        <v>319</v>
      </c>
    </row>
    <row r="2" spans="5:10" ht="15">
      <c r="E2" s="123">
        <f>'custosSalMín-igpmIgualÁguia'!J42</f>
        <v>2647408.9399999995</v>
      </c>
      <c r="F2" s="117">
        <v>300000</v>
      </c>
      <c r="G2" s="117">
        <f>E2-F2</f>
        <v>2347408.9399999995</v>
      </c>
      <c r="H2" s="117">
        <v>12</v>
      </c>
      <c r="I2" s="19">
        <f>ROUND(G2/H2,2)</f>
        <v>195617.41</v>
      </c>
      <c r="J2" s="115"/>
    </row>
    <row r="3" spans="5:10" ht="15">
      <c r="E3" s="123">
        <f>E2</f>
        <v>2647408.9399999995</v>
      </c>
      <c r="F3" s="117">
        <v>300000</v>
      </c>
      <c r="G3" s="117">
        <f>E3-F3</f>
        <v>2347408.9399999995</v>
      </c>
      <c r="H3" s="117">
        <v>18</v>
      </c>
      <c r="I3" s="19">
        <f>ROUND(G3/H3,2)</f>
        <v>130411.61</v>
      </c>
      <c r="J3" s="115"/>
    </row>
    <row r="4" spans="5:10" ht="15">
      <c r="E4" s="123">
        <f>E2</f>
        <v>2647408.9399999995</v>
      </c>
      <c r="F4" s="117">
        <v>300000</v>
      </c>
      <c r="G4" s="117">
        <f>E4-F4</f>
        <v>2347408.9399999995</v>
      </c>
      <c r="H4" s="117">
        <v>24</v>
      </c>
      <c r="I4" s="19">
        <f>ROUND(G4/H4,2)</f>
        <v>97808.71</v>
      </c>
      <c r="J4" s="115"/>
    </row>
    <row r="5" spans="5:10" ht="15.75" thickBot="1">
      <c r="E5" s="133">
        <f>E2</f>
        <v>2647408.9399999995</v>
      </c>
      <c r="F5" s="119">
        <v>300000</v>
      </c>
      <c r="G5" s="119">
        <f>E5-F5</f>
        <v>2347408.9399999995</v>
      </c>
      <c r="H5" s="119">
        <v>36</v>
      </c>
      <c r="I5" s="25">
        <f>ROUND(G5/H5,2)</f>
        <v>65205.8</v>
      </c>
      <c r="J5" s="115"/>
    </row>
    <row r="6" spans="4:10" ht="15.75" thickTop="1">
      <c r="D6" s="115"/>
      <c r="E6" s="115"/>
      <c r="F6" s="115"/>
      <c r="G6" s="115"/>
      <c r="H6" s="115"/>
      <c r="I6" s="115"/>
      <c r="J6" s="115"/>
    </row>
    <row r="7" ht="15.75" thickBot="1"/>
    <row r="8" spans="2:4" ht="16.5" thickBot="1" thickTop="1">
      <c r="B8" s="419" t="s">
        <v>308</v>
      </c>
      <c r="C8" s="420"/>
      <c r="D8" s="421"/>
    </row>
    <row r="9" spans="2:4" ht="15.75" thickBot="1">
      <c r="B9" s="261" t="s">
        <v>309</v>
      </c>
      <c r="C9" s="262" t="s">
        <v>310</v>
      </c>
      <c r="D9" s="263" t="s">
        <v>92</v>
      </c>
    </row>
    <row r="10" spans="2:4" ht="15.75" thickBot="1">
      <c r="B10" s="264" t="s">
        <v>373</v>
      </c>
      <c r="C10" s="271" t="s">
        <v>320</v>
      </c>
      <c r="D10" s="266" t="s">
        <v>374</v>
      </c>
    </row>
    <row r="11" spans="2:4" ht="15.75" thickBot="1">
      <c r="B11" s="264">
        <v>1</v>
      </c>
      <c r="C11" s="265">
        <v>42444</v>
      </c>
      <c r="D11" s="266"/>
    </row>
    <row r="12" spans="2:4" ht="15.75" thickBot="1">
      <c r="B12" s="264">
        <v>2</v>
      </c>
      <c r="C12" s="265">
        <v>42475</v>
      </c>
      <c r="D12" s="266"/>
    </row>
    <row r="13" spans="2:4" ht="15.75" thickBot="1">
      <c r="B13" s="264">
        <v>3</v>
      </c>
      <c r="C13" s="265">
        <v>42505</v>
      </c>
      <c r="D13" s="266"/>
    </row>
    <row r="14" spans="2:4" ht="15.75" thickBot="1">
      <c r="B14" s="264">
        <v>4</v>
      </c>
      <c r="C14" s="265">
        <v>42536</v>
      </c>
      <c r="D14" s="266"/>
    </row>
    <row r="15" spans="2:4" ht="15.75" thickBot="1">
      <c r="B15" s="264">
        <v>5</v>
      </c>
      <c r="C15" s="265">
        <v>42566</v>
      </c>
      <c r="D15" s="266"/>
    </row>
    <row r="16" spans="2:4" ht="15.75" thickBot="1">
      <c r="B16" s="264">
        <v>6</v>
      </c>
      <c r="C16" s="265">
        <v>42597</v>
      </c>
      <c r="D16" s="266"/>
    </row>
    <row r="17" spans="2:4" ht="15.75" thickBot="1">
      <c r="B17" s="264">
        <v>7</v>
      </c>
      <c r="C17" s="265">
        <v>42628</v>
      </c>
      <c r="D17" s="266"/>
    </row>
    <row r="18" spans="2:4" ht="15.75" thickBot="1">
      <c r="B18" s="264">
        <v>8</v>
      </c>
      <c r="C18" s="265">
        <v>42658</v>
      </c>
      <c r="D18" s="266"/>
    </row>
    <row r="19" spans="2:4" ht="15.75" thickBot="1">
      <c r="B19" s="264">
        <v>9</v>
      </c>
      <c r="C19" s="265">
        <v>42689</v>
      </c>
      <c r="D19" s="266"/>
    </row>
    <row r="20" spans="2:4" ht="15.75" thickBot="1">
      <c r="B20" s="264">
        <v>10</v>
      </c>
      <c r="C20" s="265">
        <v>42719</v>
      </c>
      <c r="D20" s="266"/>
    </row>
    <row r="21" spans="2:4" ht="15.75" thickBot="1">
      <c r="B21" s="264">
        <v>11</v>
      </c>
      <c r="C21" s="265">
        <v>42750</v>
      </c>
      <c r="D21" s="266"/>
    </row>
    <row r="22" spans="2:4" ht="15.75" thickBot="1">
      <c r="B22" s="264">
        <v>12</v>
      </c>
      <c r="C22" s="265">
        <v>42781</v>
      </c>
      <c r="D22" s="266"/>
    </row>
    <row r="23" spans="2:4" ht="15.75" thickBot="1">
      <c r="B23" s="267" t="s">
        <v>95</v>
      </c>
      <c r="C23" s="268"/>
      <c r="D23" s="269">
        <f>SUM(D10:D22)</f>
        <v>0</v>
      </c>
    </row>
    <row r="24" ht="15.75" thickTop="1"/>
  </sheetData>
  <sheetProtection/>
  <mergeCells count="1">
    <mergeCell ref="B8:D8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Q46"/>
  <sheetViews>
    <sheetView zoomScalePageLayoutView="0" workbookViewId="0" topLeftCell="A1">
      <selection activeCell="N18" sqref="N18:Q22"/>
    </sheetView>
  </sheetViews>
  <sheetFormatPr defaultColWidth="9.140625" defaultRowHeight="15"/>
  <cols>
    <col min="14" max="14" width="26.8515625" style="0" customWidth="1"/>
    <col min="15" max="15" width="16.140625" style="0" customWidth="1"/>
    <col min="16" max="16" width="13.57421875" style="0" customWidth="1"/>
    <col min="17" max="17" width="16.28125" style="0" customWidth="1"/>
  </cols>
  <sheetData>
    <row r="2" ht="15.75" thickBot="1"/>
    <row r="3" spans="2:10" ht="26.25" thickBot="1">
      <c r="B3" s="422" t="s">
        <v>338</v>
      </c>
      <c r="C3" s="424" t="s">
        <v>339</v>
      </c>
      <c r="D3" s="425"/>
      <c r="E3" s="425"/>
      <c r="F3" s="425"/>
      <c r="G3" s="425"/>
      <c r="H3" s="426"/>
      <c r="I3" s="321" t="s">
        <v>340</v>
      </c>
      <c r="J3" s="322" t="s">
        <v>51</v>
      </c>
    </row>
    <row r="4" spans="2:10" ht="15.75" thickBot="1">
      <c r="B4" s="423"/>
      <c r="C4" s="324">
        <v>2007</v>
      </c>
      <c r="D4" s="324">
        <v>2008</v>
      </c>
      <c r="E4" s="324">
        <v>2009</v>
      </c>
      <c r="F4" s="324">
        <v>2010</v>
      </c>
      <c r="G4" s="324">
        <v>2011</v>
      </c>
      <c r="H4" s="324">
        <v>2012</v>
      </c>
      <c r="I4" s="324">
        <v>2013</v>
      </c>
      <c r="J4" s="323" t="s">
        <v>341</v>
      </c>
    </row>
    <row r="5" spans="2:10" ht="29.25" thickBot="1">
      <c r="B5" s="325" t="s">
        <v>290</v>
      </c>
      <c r="C5" s="326">
        <v>56</v>
      </c>
      <c r="D5" s="326">
        <v>3.9</v>
      </c>
      <c r="E5" s="326"/>
      <c r="F5" s="326"/>
      <c r="G5" s="326"/>
      <c r="H5" s="326"/>
      <c r="I5" s="326"/>
      <c r="J5" s="326">
        <v>59.9</v>
      </c>
    </row>
    <row r="6" spans="2:10" ht="29.25" thickBot="1">
      <c r="B6" s="325" t="s">
        <v>291</v>
      </c>
      <c r="C6" s="326"/>
      <c r="D6" s="326"/>
      <c r="E6" s="326"/>
      <c r="F6" s="326"/>
      <c r="G6" s="326"/>
      <c r="H6" s="326"/>
      <c r="I6" s="326">
        <v>90.58</v>
      </c>
      <c r="J6" s="326">
        <v>90.58</v>
      </c>
    </row>
    <row r="7" spans="2:10" ht="29.25" thickBot="1">
      <c r="B7" s="325" t="s">
        <v>292</v>
      </c>
      <c r="C7" s="326"/>
      <c r="D7" s="326"/>
      <c r="E7" s="326">
        <v>24</v>
      </c>
      <c r="F7" s="326"/>
      <c r="G7" s="326"/>
      <c r="H7" s="326"/>
      <c r="I7" s="326"/>
      <c r="J7" s="326">
        <v>24</v>
      </c>
    </row>
    <row r="8" spans="2:10" ht="29.25" thickBot="1">
      <c r="B8" s="325" t="s">
        <v>293</v>
      </c>
      <c r="C8" s="326"/>
      <c r="D8" s="326"/>
      <c r="E8" s="326">
        <v>101.2</v>
      </c>
      <c r="F8" s="326">
        <v>27</v>
      </c>
      <c r="G8" s="326"/>
      <c r="H8" s="326"/>
      <c r="I8" s="326">
        <v>60.7</v>
      </c>
      <c r="J8" s="326">
        <v>188.9</v>
      </c>
    </row>
    <row r="9" spans="2:10" ht="29.25" thickBot="1">
      <c r="B9" s="325" t="s">
        <v>294</v>
      </c>
      <c r="C9" s="326"/>
      <c r="D9" s="326"/>
      <c r="E9" s="326">
        <v>102.39</v>
      </c>
      <c r="F9" s="326"/>
      <c r="G9" s="326">
        <v>46.27</v>
      </c>
      <c r="H9" s="326"/>
      <c r="I9" s="326"/>
      <c r="J9" s="326">
        <v>148.66</v>
      </c>
    </row>
    <row r="10" spans="2:10" ht="29.25" thickBot="1">
      <c r="B10" s="325" t="s">
        <v>295</v>
      </c>
      <c r="C10" s="326"/>
      <c r="D10" s="326"/>
      <c r="E10" s="326">
        <v>24.7</v>
      </c>
      <c r="F10" s="326">
        <v>199.7</v>
      </c>
      <c r="G10" s="326"/>
      <c r="H10" s="326"/>
      <c r="I10" s="326">
        <v>10.5</v>
      </c>
      <c r="J10" s="326">
        <v>234.9</v>
      </c>
    </row>
    <row r="11" spans="2:10" ht="29.25" thickBot="1">
      <c r="B11" s="325" t="s">
        <v>296</v>
      </c>
      <c r="C11" s="326"/>
      <c r="D11" s="326"/>
      <c r="E11" s="326"/>
      <c r="F11" s="326"/>
      <c r="G11" s="326">
        <v>74.6</v>
      </c>
      <c r="H11" s="326">
        <v>47.9</v>
      </c>
      <c r="I11" s="326"/>
      <c r="J11" s="326">
        <v>122.5</v>
      </c>
    </row>
    <row r="12" spans="2:10" ht="15.75" thickBot="1">
      <c r="B12" s="325" t="s">
        <v>297</v>
      </c>
      <c r="C12" s="326"/>
      <c r="D12" s="326"/>
      <c r="E12" s="326">
        <v>119.16</v>
      </c>
      <c r="F12" s="326"/>
      <c r="G12" s="326"/>
      <c r="H12" s="326"/>
      <c r="I12" s="326"/>
      <c r="J12" s="326">
        <v>119.16</v>
      </c>
    </row>
    <row r="13" spans="2:10" ht="29.25" thickBot="1">
      <c r="B13" s="325" t="s">
        <v>298</v>
      </c>
      <c r="C13" s="326"/>
      <c r="D13" s="326"/>
      <c r="E13" s="326">
        <v>213.5</v>
      </c>
      <c r="F13" s="326">
        <v>70.5</v>
      </c>
      <c r="G13" s="326"/>
      <c r="H13" s="326"/>
      <c r="I13" s="326"/>
      <c r="J13" s="326">
        <v>284</v>
      </c>
    </row>
    <row r="14" spans="2:10" ht="15">
      <c r="B14" s="427" t="s">
        <v>273</v>
      </c>
      <c r="C14" s="427">
        <v>56</v>
      </c>
      <c r="D14" s="427">
        <v>3.9</v>
      </c>
      <c r="E14" s="427">
        <v>584.95</v>
      </c>
      <c r="F14" s="427">
        <v>297.2</v>
      </c>
      <c r="G14" s="427">
        <v>120.87</v>
      </c>
      <c r="H14" s="427">
        <v>47.9</v>
      </c>
      <c r="I14" s="427">
        <v>161.78</v>
      </c>
      <c r="J14" s="429">
        <v>1272.6</v>
      </c>
    </row>
    <row r="15" spans="2:10" ht="15.75" thickBot="1">
      <c r="B15" s="428"/>
      <c r="C15" s="428"/>
      <c r="D15" s="428"/>
      <c r="E15" s="428"/>
      <c r="F15" s="428"/>
      <c r="G15" s="428"/>
      <c r="H15" s="428"/>
      <c r="I15" s="428"/>
      <c r="J15" s="430"/>
    </row>
    <row r="17" ht="15.75" thickBot="1"/>
    <row r="18" spans="2:17" ht="16.5" customHeight="1" thickBot="1">
      <c r="B18" s="431"/>
      <c r="C18" s="431"/>
      <c r="D18" s="431"/>
      <c r="E18" s="431"/>
      <c r="N18" s="424" t="s">
        <v>346</v>
      </c>
      <c r="O18" s="425"/>
      <c r="P18" s="425"/>
      <c r="Q18" s="426"/>
    </row>
    <row r="19" spans="2:17" ht="29.25" customHeight="1" thickBot="1">
      <c r="B19" s="328"/>
      <c r="C19" s="328"/>
      <c r="D19" s="328"/>
      <c r="E19" s="328"/>
      <c r="N19" s="325"/>
      <c r="O19" s="324" t="s">
        <v>345</v>
      </c>
      <c r="P19" s="324" t="s">
        <v>344</v>
      </c>
      <c r="Q19" s="330" t="s">
        <v>347</v>
      </c>
    </row>
    <row r="20" spans="2:17" ht="16.5" customHeight="1" thickBot="1">
      <c r="B20" s="328"/>
      <c r="C20" s="329"/>
      <c r="D20" s="328"/>
      <c r="E20" s="329"/>
      <c r="N20" s="325" t="s">
        <v>342</v>
      </c>
      <c r="O20" s="327">
        <v>50</v>
      </c>
      <c r="P20" s="358">
        <v>4669489.51</v>
      </c>
      <c r="Q20" s="359"/>
    </row>
    <row r="21" spans="2:16" ht="15.75" thickBot="1">
      <c r="B21" s="328"/>
      <c r="C21" s="329"/>
      <c r="D21" s="328"/>
      <c r="E21" s="329"/>
      <c r="N21" s="325" t="s">
        <v>343</v>
      </c>
      <c r="O21" s="327">
        <v>50</v>
      </c>
      <c r="P21" s="327"/>
    </row>
    <row r="22" spans="2:16" ht="15.75" thickBot="1">
      <c r="B22" s="328"/>
      <c r="C22" s="329"/>
      <c r="D22" s="328"/>
      <c r="E22" s="329"/>
      <c r="H22">
        <v>1000</v>
      </c>
      <c r="N22" s="325" t="s">
        <v>95</v>
      </c>
      <c r="O22" s="327">
        <f>O20+O21</f>
        <v>100</v>
      </c>
      <c r="P22" s="327"/>
    </row>
    <row r="23" ht="15">
      <c r="H23">
        <v>32</v>
      </c>
    </row>
    <row r="24" ht="15">
      <c r="H24">
        <f>H22/H23</f>
        <v>31.25</v>
      </c>
    </row>
    <row r="31" spans="9:13" ht="15">
      <c r="I31" s="243"/>
      <c r="J31" s="243"/>
      <c r="K31" s="243"/>
      <c r="L31" s="243"/>
      <c r="M31" s="243"/>
    </row>
    <row r="32" spans="9:13" ht="15">
      <c r="I32" s="243"/>
      <c r="J32" s="243"/>
      <c r="K32" s="243"/>
      <c r="L32" s="243"/>
      <c r="M32" s="243"/>
    </row>
    <row r="33" spans="9:13" ht="15">
      <c r="I33" s="243"/>
      <c r="J33" s="243"/>
      <c r="K33" s="243"/>
      <c r="L33" s="243"/>
      <c r="M33" s="243"/>
    </row>
    <row r="34" spans="9:13" ht="15">
      <c r="I34" s="243"/>
      <c r="J34" s="243"/>
      <c r="K34" s="243"/>
      <c r="L34" s="243"/>
      <c r="M34" s="243"/>
    </row>
    <row r="35" spans="9:13" ht="15">
      <c r="I35" s="243"/>
      <c r="J35" s="243"/>
      <c r="K35" s="243"/>
      <c r="L35" s="243"/>
      <c r="M35" s="243"/>
    </row>
    <row r="36" spans="9:13" ht="15">
      <c r="I36" s="243"/>
      <c r="J36" s="243"/>
      <c r="K36" s="243"/>
      <c r="L36" s="243"/>
      <c r="M36" s="243"/>
    </row>
    <row r="37" spans="9:13" ht="15">
      <c r="I37" s="243"/>
      <c r="J37" s="243"/>
      <c r="K37" s="243"/>
      <c r="L37" s="243"/>
      <c r="M37" s="243"/>
    </row>
    <row r="38" spans="9:13" ht="15">
      <c r="I38" s="243"/>
      <c r="J38" s="243"/>
      <c r="K38" s="243"/>
      <c r="L38" s="243"/>
      <c r="M38" s="243"/>
    </row>
    <row r="39" spans="9:13" ht="15">
      <c r="I39" s="243"/>
      <c r="J39" s="243"/>
      <c r="K39" s="243"/>
      <c r="L39" s="243"/>
      <c r="M39" s="243"/>
    </row>
    <row r="40" spans="9:13" ht="15">
      <c r="I40" s="243"/>
      <c r="J40" s="243"/>
      <c r="K40" s="243"/>
      <c r="L40" s="243"/>
      <c r="M40" s="243"/>
    </row>
    <row r="41" spans="9:13" ht="15">
      <c r="I41" s="243"/>
      <c r="J41" s="243"/>
      <c r="K41" s="243"/>
      <c r="L41" s="243"/>
      <c r="M41" s="243"/>
    </row>
    <row r="42" spans="9:13" ht="15">
      <c r="I42" s="243"/>
      <c r="J42" s="243"/>
      <c r="K42" s="243"/>
      <c r="L42" s="243"/>
      <c r="M42" s="243"/>
    </row>
    <row r="43" spans="9:13" ht="15">
      <c r="I43" s="243"/>
      <c r="J43" s="243"/>
      <c r="K43" s="243"/>
      <c r="L43" s="243"/>
      <c r="M43" s="243"/>
    </row>
    <row r="44" spans="9:13" ht="15">
      <c r="I44" s="243"/>
      <c r="J44" s="243"/>
      <c r="K44" s="243"/>
      <c r="L44" s="243"/>
      <c r="M44" s="243"/>
    </row>
    <row r="45" spans="9:13" ht="15">
      <c r="I45" s="243"/>
      <c r="J45" s="243"/>
      <c r="K45" s="243"/>
      <c r="L45" s="243"/>
      <c r="M45" s="243"/>
    </row>
    <row r="46" spans="9:13" ht="15">
      <c r="I46" s="243"/>
      <c r="J46" s="243"/>
      <c r="K46" s="243"/>
      <c r="L46" s="243"/>
      <c r="M46" s="243"/>
    </row>
  </sheetData>
  <sheetProtection/>
  <mergeCells count="14">
    <mergeCell ref="N18:Q18"/>
    <mergeCell ref="I14:I15"/>
    <mergeCell ref="J14:J15"/>
    <mergeCell ref="B18:C18"/>
    <mergeCell ref="D18:E18"/>
    <mergeCell ref="B3:B4"/>
    <mergeCell ref="C3:H3"/>
    <mergeCell ref="B14:B15"/>
    <mergeCell ref="C14:C15"/>
    <mergeCell ref="D14:D15"/>
    <mergeCell ref="E14:E15"/>
    <mergeCell ref="F14:F15"/>
    <mergeCell ref="G14:G15"/>
    <mergeCell ref="H14:H1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ajpizani</dc:creator>
  <cp:keywords/>
  <dc:description/>
  <cp:lastModifiedBy>Luiz</cp:lastModifiedBy>
  <cp:lastPrinted>2016-02-03T13:47:31Z</cp:lastPrinted>
  <dcterms:created xsi:type="dcterms:W3CDTF">2016-01-25T15:16:44Z</dcterms:created>
  <dcterms:modified xsi:type="dcterms:W3CDTF">2016-02-11T11:37:23Z</dcterms:modified>
  <cp:category/>
  <cp:version/>
  <cp:contentType/>
  <cp:contentStatus/>
</cp:coreProperties>
</file>